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bundet-my.sharepoint.com/personal/gro_losvik_styrke_no/Documents/Jobb/Hovedoppgjør 2026/"/>
    </mc:Choice>
  </mc:AlternateContent>
  <xr:revisionPtr revIDLastSave="91" documentId="8_{9DBB00CC-3268-436D-B126-9DDA804DDD79}" xr6:coauthVersionLast="47" xr6:coauthVersionMax="47" xr10:uidLastSave="{E3C6F9E9-9033-4228-9902-DAC82E0840EE}"/>
  <bookViews>
    <workbookView xWindow="-120" yWindow="-120" windowWidth="29040" windowHeight="17520" xr2:uid="{00000000-000D-0000-FFFF-FFFF00000000}"/>
  </bookViews>
  <sheets>
    <sheet name="Lønnstabell 01.06.2026" sheetId="6" r:id="rId1"/>
    <sheet name="Tabell med 47% sokkelkomp." sheetId="2" r:id="rId2"/>
    <sheet name="Tab. med fast avt. sokkelkomp." sheetId="3" r:id="rId3"/>
  </sheets>
  <definedNames>
    <definedName name="Print_Area" localSheetId="0">'Lønnstabell 01.06.2026'!$A$1:$P$45</definedName>
    <definedName name="Print_Area" localSheetId="2">'Tab. med fast avt. sokkelkomp.'!$A$1:$O$52</definedName>
    <definedName name="Print_Area" localSheetId="1">'Tabell med 47% sokkelkomp.'!$A$1:$P$51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6" l="1"/>
  <c r="P35" i="2" s="1"/>
  <c r="O29" i="6"/>
  <c r="N35" i="3" s="1"/>
  <c r="N29" i="6"/>
  <c r="N35" i="2" s="1"/>
  <c r="M29" i="6"/>
  <c r="M35" i="2"/>
  <c r="L29" i="6"/>
  <c r="K29" i="6"/>
  <c r="J29" i="6"/>
  <c r="I35" i="3" s="1"/>
  <c r="I29" i="6"/>
  <c r="P21" i="6"/>
  <c r="P26" i="2" s="1"/>
  <c r="O21" i="6"/>
  <c r="O26" i="2" s="1"/>
  <c r="N21" i="6"/>
  <c r="M21" i="6"/>
  <c r="M26" i="2" s="1"/>
  <c r="L21" i="6"/>
  <c r="K26" i="3" s="1"/>
  <c r="K21" i="6"/>
  <c r="J26" i="3" s="1"/>
  <c r="J21" i="6"/>
  <c r="J26" i="2" s="1"/>
  <c r="I21" i="6"/>
  <c r="H26" i="3" s="1"/>
  <c r="H21" i="6"/>
  <c r="G21" i="6"/>
  <c r="F26" i="3" s="1"/>
  <c r="P12" i="6"/>
  <c r="O12" i="6"/>
  <c r="N12" i="6"/>
  <c r="N15" i="2" s="1"/>
  <c r="M12" i="6"/>
  <c r="M15" i="2" s="1"/>
  <c r="L12" i="6"/>
  <c r="L15" i="2" s="1"/>
  <c r="K12" i="6"/>
  <c r="J15" i="3" s="1"/>
  <c r="J12" i="6"/>
  <c r="I15" i="3" s="1"/>
  <c r="I12" i="6"/>
  <c r="I15" i="2" s="1"/>
  <c r="I17" i="2" s="1"/>
  <c r="I16" i="2" s="1"/>
  <c r="P4" i="6"/>
  <c r="O4" i="6"/>
  <c r="N6" i="3" s="1"/>
  <c r="N4" i="6"/>
  <c r="M4" i="6"/>
  <c r="L6" i="3" s="1"/>
  <c r="L4" i="6"/>
  <c r="K4" i="6"/>
  <c r="J6" i="3" s="1"/>
  <c r="J4" i="6"/>
  <c r="J6" i="2" s="1"/>
  <c r="I4" i="6"/>
  <c r="H6" i="3" s="1"/>
  <c r="H8" i="3" s="1"/>
  <c r="K35" i="3"/>
  <c r="K35" i="2"/>
  <c r="H35" i="3"/>
  <c r="N26" i="2"/>
  <c r="P15" i="2"/>
  <c r="P6" i="2"/>
  <c r="N6" i="2"/>
  <c r="L6" i="2"/>
  <c r="G26" i="3"/>
  <c r="N15" i="3"/>
  <c r="O15" i="3"/>
  <c r="O6" i="3"/>
  <c r="H26" i="2"/>
  <c r="K26" i="2"/>
  <c r="O15" i="2"/>
  <c r="P40" i="2" l="1"/>
  <c r="P39" i="2"/>
  <c r="P37" i="2"/>
  <c r="M6" i="2"/>
  <c r="M15" i="3"/>
  <c r="M17" i="3" s="1"/>
  <c r="M18" i="3" s="1"/>
  <c r="L15" i="3"/>
  <c r="L20" i="3" s="1"/>
  <c r="I26" i="2"/>
  <c r="O35" i="2"/>
  <c r="L26" i="2"/>
  <c r="L31" i="2" s="1"/>
  <c r="O6" i="2"/>
  <c r="K6" i="2"/>
  <c r="M35" i="3"/>
  <c r="M40" i="3" s="1"/>
  <c r="L35" i="3"/>
  <c r="L40" i="3" s="1"/>
  <c r="L35" i="2"/>
  <c r="L40" i="2" s="1"/>
  <c r="J35" i="3"/>
  <c r="J35" i="2"/>
  <c r="J40" i="2" s="1"/>
  <c r="I35" i="2"/>
  <c r="I40" i="2" s="1"/>
  <c r="O26" i="3"/>
  <c r="O28" i="3" s="1"/>
  <c r="O32" i="3" s="1"/>
  <c r="N26" i="3"/>
  <c r="N31" i="3" s="1"/>
  <c r="M26" i="3"/>
  <c r="M30" i="3" s="1"/>
  <c r="L26" i="3"/>
  <c r="L28" i="3" s="1"/>
  <c r="L29" i="3" s="1"/>
  <c r="I26" i="3"/>
  <c r="G26" i="2"/>
  <c r="G31" i="2" s="1"/>
  <c r="K15" i="3"/>
  <c r="K15" i="2"/>
  <c r="J15" i="2"/>
  <c r="H15" i="3"/>
  <c r="M6" i="3"/>
  <c r="M11" i="3" s="1"/>
  <c r="K6" i="3"/>
  <c r="I6" i="2"/>
  <c r="I8" i="2" s="1"/>
  <c r="I7" i="2" s="1"/>
  <c r="I6" i="3"/>
  <c r="O11" i="3"/>
  <c r="O10" i="3"/>
  <c r="O8" i="3"/>
  <c r="O9" i="3" s="1"/>
  <c r="N11" i="3"/>
  <c r="N10" i="3"/>
  <c r="N8" i="3"/>
  <c r="N9" i="3" s="1"/>
  <c r="L11" i="3"/>
  <c r="L10" i="3"/>
  <c r="L8" i="3"/>
  <c r="L9" i="3" s="1"/>
  <c r="K40" i="3"/>
  <c r="K39" i="3"/>
  <c r="K37" i="3"/>
  <c r="K38" i="3" s="1"/>
  <c r="O30" i="3"/>
  <c r="N28" i="3"/>
  <c r="N29" i="3" s="1"/>
  <c r="M31" i="3"/>
  <c r="O20" i="3"/>
  <c r="O19" i="3"/>
  <c r="O17" i="3"/>
  <c r="O18" i="3" s="1"/>
  <c r="N20" i="3"/>
  <c r="N19" i="3"/>
  <c r="N17" i="3"/>
  <c r="N18" i="3" s="1"/>
  <c r="M20" i="3"/>
  <c r="M19" i="3"/>
  <c r="N40" i="2"/>
  <c r="N39" i="2"/>
  <c r="N37" i="2"/>
  <c r="N38" i="2" s="1"/>
  <c r="M40" i="2"/>
  <c r="M39" i="2"/>
  <c r="M37" i="2"/>
  <c r="M38" i="2" s="1"/>
  <c r="K40" i="2"/>
  <c r="K39" i="2"/>
  <c r="K37" i="2"/>
  <c r="K38" i="2" s="1"/>
  <c r="P20" i="2"/>
  <c r="P19" i="2"/>
  <c r="P17" i="2"/>
  <c r="P18" i="2" s="1"/>
  <c r="O20" i="2"/>
  <c r="O19" i="2"/>
  <c r="O17" i="2"/>
  <c r="O18" i="2" s="1"/>
  <c r="N20" i="2"/>
  <c r="N19" i="2"/>
  <c r="N17" i="2"/>
  <c r="N18" i="2" s="1"/>
  <c r="M20" i="2"/>
  <c r="M19" i="2"/>
  <c r="M17" i="2"/>
  <c r="M18" i="2" s="1"/>
  <c r="L20" i="2"/>
  <c r="L19" i="2"/>
  <c r="L17" i="2"/>
  <c r="L18" i="2" s="1"/>
  <c r="P31" i="2"/>
  <c r="P30" i="2"/>
  <c r="P28" i="2"/>
  <c r="P29" i="2" s="1"/>
  <c r="O31" i="2"/>
  <c r="O30" i="2"/>
  <c r="O28" i="2"/>
  <c r="O32" i="2" s="1"/>
  <c r="N31" i="2"/>
  <c r="N30" i="2"/>
  <c r="N28" i="2"/>
  <c r="N29" i="2" s="1"/>
  <c r="M31" i="2"/>
  <c r="M30" i="2"/>
  <c r="M28" i="2"/>
  <c r="M32" i="2" s="1"/>
  <c r="J37" i="2" l="1"/>
  <c r="J38" i="2" s="1"/>
  <c r="J39" i="2"/>
  <c r="I9" i="2"/>
  <c r="O40" i="2"/>
  <c r="O39" i="2"/>
  <c r="O37" i="2"/>
  <c r="L28" i="2"/>
  <c r="L29" i="2" s="1"/>
  <c r="L17" i="3"/>
  <c r="L18" i="3" s="1"/>
  <c r="N30" i="3"/>
  <c r="L30" i="2"/>
  <c r="L19" i="3"/>
  <c r="P36" i="2"/>
  <c r="P41" i="2"/>
  <c r="P38" i="2"/>
  <c r="L39" i="2"/>
  <c r="L37" i="2"/>
  <c r="L38" i="2" s="1"/>
  <c r="M8" i="3"/>
  <c r="M9" i="3" s="1"/>
  <c r="M10" i="3"/>
  <c r="M37" i="3"/>
  <c r="M38" i="3" s="1"/>
  <c r="M39" i="3"/>
  <c r="L39" i="3"/>
  <c r="L37" i="3"/>
  <c r="L38" i="3" s="1"/>
  <c r="I39" i="2"/>
  <c r="I37" i="2"/>
  <c r="I38" i="2" s="1"/>
  <c r="O31" i="3"/>
  <c r="M28" i="3"/>
  <c r="M32" i="3" s="1"/>
  <c r="M34" i="3" s="1"/>
  <c r="L30" i="3"/>
  <c r="L31" i="3"/>
  <c r="N27" i="2"/>
  <c r="O27" i="2"/>
  <c r="O16" i="2"/>
  <c r="N16" i="2"/>
  <c r="M16" i="2"/>
  <c r="L16" i="2"/>
  <c r="N36" i="2"/>
  <c r="M36" i="2"/>
  <c r="K36" i="2"/>
  <c r="L27" i="2"/>
  <c r="O29" i="3"/>
  <c r="O12" i="3"/>
  <c r="N12" i="3"/>
  <c r="L12" i="3"/>
  <c r="K41" i="3"/>
  <c r="O34" i="3"/>
  <c r="O33" i="3"/>
  <c r="N32" i="3"/>
  <c r="L32" i="3"/>
  <c r="O21" i="3"/>
  <c r="N21" i="3"/>
  <c r="M21" i="3"/>
  <c r="L21" i="3"/>
  <c r="I36" i="2"/>
  <c r="N41" i="2"/>
  <c r="M41" i="2"/>
  <c r="K41" i="2"/>
  <c r="J41" i="2"/>
  <c r="P27" i="2"/>
  <c r="O29" i="2"/>
  <c r="M29" i="2"/>
  <c r="M27" i="2"/>
  <c r="P16" i="2"/>
  <c r="P21" i="2"/>
  <c r="O21" i="2"/>
  <c r="N21" i="2"/>
  <c r="M21" i="2"/>
  <c r="L21" i="2"/>
  <c r="P32" i="2"/>
  <c r="O34" i="2"/>
  <c r="O33" i="2"/>
  <c r="N32" i="2"/>
  <c r="M34" i="2"/>
  <c r="M33" i="2"/>
  <c r="P11" i="2"/>
  <c r="O11" i="2"/>
  <c r="N11" i="2"/>
  <c r="M11" i="2"/>
  <c r="P10" i="2"/>
  <c r="O10" i="2"/>
  <c r="N10" i="2"/>
  <c r="M10" i="2"/>
  <c r="P8" i="2"/>
  <c r="P7" i="2" s="1"/>
  <c r="O8" i="2"/>
  <c r="O9" i="2" s="1"/>
  <c r="N8" i="2"/>
  <c r="N12" i="2" s="1"/>
  <c r="M8" i="2"/>
  <c r="M7" i="2" s="1"/>
  <c r="J36" i="2" l="1"/>
  <c r="L32" i="2"/>
  <c r="L34" i="2" s="1"/>
  <c r="L41" i="2"/>
  <c r="L43" i="2" s="1"/>
  <c r="L36" i="2"/>
  <c r="O36" i="2"/>
  <c r="O41" i="2"/>
  <c r="O38" i="2"/>
  <c r="P43" i="2"/>
  <c r="P42" i="2"/>
  <c r="I41" i="2"/>
  <c r="I43" i="2" s="1"/>
  <c r="L41" i="3"/>
  <c r="L43" i="3" s="1"/>
  <c r="M12" i="3"/>
  <c r="M14" i="3" s="1"/>
  <c r="M41" i="3"/>
  <c r="M43" i="3" s="1"/>
  <c r="M33" i="3"/>
  <c r="M29" i="3"/>
  <c r="O12" i="2"/>
  <c r="O14" i="2" s="1"/>
  <c r="P12" i="2"/>
  <c r="P14" i="2" s="1"/>
  <c r="O14" i="3"/>
  <c r="O13" i="3"/>
  <c r="N14" i="3"/>
  <c r="N13" i="3"/>
  <c r="L14" i="3"/>
  <c r="L13" i="3"/>
  <c r="L42" i="3"/>
  <c r="K43" i="3"/>
  <c r="K42" i="3"/>
  <c r="N34" i="3"/>
  <c r="N33" i="3"/>
  <c r="L34" i="3"/>
  <c r="L33" i="3"/>
  <c r="O23" i="3"/>
  <c r="O22" i="3"/>
  <c r="N23" i="3"/>
  <c r="N22" i="3"/>
  <c r="M23" i="3"/>
  <c r="M22" i="3"/>
  <c r="L23" i="3"/>
  <c r="L22" i="3"/>
  <c r="N43" i="2"/>
  <c r="N42" i="2"/>
  <c r="M43" i="2"/>
  <c r="M42" i="2"/>
  <c r="K43" i="2"/>
  <c r="K42" i="2"/>
  <c r="J43" i="2"/>
  <c r="J42" i="2"/>
  <c r="P23" i="2"/>
  <c r="P22" i="2"/>
  <c r="O23" i="2"/>
  <c r="O22" i="2"/>
  <c r="N23" i="2"/>
  <c r="N22" i="2"/>
  <c r="M23" i="2"/>
  <c r="M22" i="2"/>
  <c r="L23" i="2"/>
  <c r="L22" i="2"/>
  <c r="P34" i="2"/>
  <c r="P33" i="2"/>
  <c r="N34" i="2"/>
  <c r="N33" i="2"/>
  <c r="N13" i="2"/>
  <c r="N14" i="2"/>
  <c r="N7" i="2"/>
  <c r="O7" i="2"/>
  <c r="P9" i="2"/>
  <c r="M12" i="2"/>
  <c r="N9" i="2"/>
  <c r="M9" i="2"/>
  <c r="L11" i="2"/>
  <c r="L10" i="2"/>
  <c r="L8" i="2"/>
  <c r="L9" i="2" s="1"/>
  <c r="L42" i="2" l="1"/>
  <c r="L33" i="2"/>
  <c r="I42" i="2"/>
  <c r="M13" i="3"/>
  <c r="O43" i="2"/>
  <c r="O42" i="2"/>
  <c r="M42" i="3"/>
  <c r="O13" i="2"/>
  <c r="P13" i="2"/>
  <c r="L12" i="2"/>
  <c r="M14" i="2"/>
  <c r="M13" i="2"/>
  <c r="L7" i="2"/>
  <c r="L14" i="2" l="1"/>
  <c r="L13" i="2"/>
  <c r="K30" i="3"/>
  <c r="K17" i="3"/>
  <c r="K30" i="2"/>
  <c r="K19" i="2"/>
  <c r="K18" i="3" l="1"/>
  <c r="K21" i="3"/>
  <c r="K20" i="2"/>
  <c r="K28" i="2"/>
  <c r="K31" i="2"/>
  <c r="K19" i="3"/>
  <c r="K31" i="3"/>
  <c r="K17" i="2"/>
  <c r="K20" i="3"/>
  <c r="K28" i="3"/>
  <c r="J37" i="3"/>
  <c r="J38" i="3" s="1"/>
  <c r="I40" i="3"/>
  <c r="H39" i="3"/>
  <c r="J31" i="3"/>
  <c r="I31" i="3"/>
  <c r="H30" i="3"/>
  <c r="F31" i="3"/>
  <c r="J30" i="2"/>
  <c r="I28" i="2"/>
  <c r="H31" i="2"/>
  <c r="G28" i="2"/>
  <c r="G27" i="2" s="1"/>
  <c r="J19" i="3"/>
  <c r="H19" i="3"/>
  <c r="J17" i="2"/>
  <c r="J16" i="2" s="1"/>
  <c r="I19" i="2"/>
  <c r="K10" i="3"/>
  <c r="J10" i="3"/>
  <c r="I10" i="3"/>
  <c r="H11" i="3"/>
  <c r="K11" i="2"/>
  <c r="J10" i="2"/>
  <c r="J39" i="3"/>
  <c r="I39" i="3"/>
  <c r="F28" i="3"/>
  <c r="F29" i="3" s="1"/>
  <c r="I19" i="3"/>
  <c r="I20" i="3"/>
  <c r="J11" i="3"/>
  <c r="K10" i="2"/>
  <c r="K18" i="2" l="1"/>
  <c r="K21" i="2"/>
  <c r="K16" i="2"/>
  <c r="K29" i="2"/>
  <c r="K32" i="2"/>
  <c r="K27" i="2"/>
  <c r="K29" i="3"/>
  <c r="K32" i="3"/>
  <c r="K22" i="3"/>
  <c r="K23" i="3"/>
  <c r="I20" i="2"/>
  <c r="K11" i="3"/>
  <c r="J40" i="3"/>
  <c r="H10" i="3"/>
  <c r="J17" i="3"/>
  <c r="J18" i="3" s="1"/>
  <c r="I8" i="3"/>
  <c r="I9" i="3" s="1"/>
  <c r="H9" i="3"/>
  <c r="J20" i="3"/>
  <c r="I30" i="3"/>
  <c r="G30" i="2"/>
  <c r="F30" i="3"/>
  <c r="K8" i="3"/>
  <c r="J28" i="3"/>
  <c r="J29" i="3" s="1"/>
  <c r="J30" i="3"/>
  <c r="H37" i="3"/>
  <c r="H38" i="3" s="1"/>
  <c r="H28" i="3"/>
  <c r="H32" i="3" s="1"/>
  <c r="F32" i="3"/>
  <c r="F33" i="3" s="1"/>
  <c r="H30" i="2"/>
  <c r="H28" i="2"/>
  <c r="H32" i="2" s="1"/>
  <c r="J8" i="2"/>
  <c r="J9" i="2" s="1"/>
  <c r="K8" i="2"/>
  <c r="K7" i="2" s="1"/>
  <c r="J19" i="2"/>
  <c r="J20" i="2"/>
  <c r="I30" i="2"/>
  <c r="I31" i="2"/>
  <c r="G32" i="2"/>
  <c r="G34" i="2" s="1"/>
  <c r="G30" i="3"/>
  <c r="G28" i="3"/>
  <c r="I11" i="3"/>
  <c r="G31" i="3"/>
  <c r="H17" i="3"/>
  <c r="H20" i="3"/>
  <c r="J41" i="3"/>
  <c r="H40" i="3"/>
  <c r="J8" i="3"/>
  <c r="I17" i="3"/>
  <c r="I28" i="3"/>
  <c r="I37" i="3"/>
  <c r="H31" i="3"/>
  <c r="I32" i="2"/>
  <c r="I29" i="2"/>
  <c r="I11" i="2"/>
  <c r="I10" i="2"/>
  <c r="J31" i="2"/>
  <c r="J28" i="2"/>
  <c r="I27" i="2"/>
  <c r="G29" i="2"/>
  <c r="J21" i="2"/>
  <c r="J18" i="2"/>
  <c r="J11" i="2"/>
  <c r="H12" i="3" l="1"/>
  <c r="H13" i="3" s="1"/>
  <c r="K34" i="3"/>
  <c r="K33" i="3"/>
  <c r="K23" i="2"/>
  <c r="K22" i="2"/>
  <c r="K34" i="2"/>
  <c r="K33" i="2"/>
  <c r="H41" i="3"/>
  <c r="H42" i="3" s="1"/>
  <c r="F34" i="3"/>
  <c r="I12" i="3"/>
  <c r="I13" i="3" s="1"/>
  <c r="H33" i="2"/>
  <c r="H34" i="2"/>
  <c r="J21" i="3"/>
  <c r="J22" i="3" s="1"/>
  <c r="H29" i="3"/>
  <c r="J32" i="3"/>
  <c r="K12" i="3"/>
  <c r="K9" i="3"/>
  <c r="H29" i="2"/>
  <c r="H27" i="2"/>
  <c r="G33" i="2"/>
  <c r="K9" i="2"/>
  <c r="K12" i="2"/>
  <c r="J7" i="2"/>
  <c r="J12" i="2"/>
  <c r="I18" i="2"/>
  <c r="I21" i="2"/>
  <c r="I32" i="3"/>
  <c r="I29" i="3"/>
  <c r="J12" i="3"/>
  <c r="J9" i="3"/>
  <c r="H21" i="3"/>
  <c r="H18" i="3"/>
  <c r="H33" i="3"/>
  <c r="H34" i="3"/>
  <c r="J43" i="3"/>
  <c r="J42" i="3"/>
  <c r="G29" i="3"/>
  <c r="G32" i="3"/>
  <c r="I41" i="3"/>
  <c r="I38" i="3"/>
  <c r="I21" i="3"/>
  <c r="I18" i="3"/>
  <c r="J22" i="2"/>
  <c r="J23" i="2"/>
  <c r="J27" i="2"/>
  <c r="J32" i="2"/>
  <c r="J29" i="2"/>
  <c r="I12" i="2"/>
  <c r="I33" i="2"/>
  <c r="I34" i="2"/>
  <c r="H14" i="3" l="1"/>
  <c r="H43" i="3"/>
  <c r="I14" i="3"/>
  <c r="J23" i="3"/>
  <c r="J33" i="3"/>
  <c r="J34" i="3"/>
  <c r="K14" i="3"/>
  <c r="K13" i="3"/>
  <c r="I23" i="2"/>
  <c r="I22" i="2"/>
  <c r="K14" i="2"/>
  <c r="K13" i="2"/>
  <c r="J14" i="2"/>
  <c r="J13" i="2"/>
  <c r="I43" i="3"/>
  <c r="I42" i="3"/>
  <c r="I34" i="3"/>
  <c r="I33" i="3"/>
  <c r="G33" i="3"/>
  <c r="G34" i="3"/>
  <c r="I23" i="3"/>
  <c r="I22" i="3"/>
  <c r="H22" i="3"/>
  <c r="H23" i="3"/>
  <c r="J13" i="3"/>
  <c r="J14" i="3"/>
  <c r="I14" i="2"/>
  <c r="I13" i="2"/>
  <c r="J34" i="2"/>
  <c r="J33" i="2"/>
</calcChain>
</file>

<file path=xl/sharedStrings.xml><?xml version="1.0" encoding="utf-8"?>
<sst xmlns="http://schemas.openxmlformats.org/spreadsheetml/2006/main" count="278" uniqueCount="107">
  <si>
    <t>Stillinger</t>
  </si>
  <si>
    <t xml:space="preserve">MUB Ingeniør </t>
  </si>
  <si>
    <t xml:space="preserve">Retningsmåler </t>
  </si>
  <si>
    <t xml:space="preserve">Borestedsgeolog </t>
  </si>
  <si>
    <t xml:space="preserve"> </t>
  </si>
  <si>
    <t>Feltgeolog</t>
  </si>
  <si>
    <t>A</t>
  </si>
  <si>
    <t xml:space="preserve">Brønnspesialist </t>
  </si>
  <si>
    <t>Borevæske Ingeniør 1</t>
  </si>
  <si>
    <t>Junior fisker</t>
  </si>
  <si>
    <t>Junior retningsborer</t>
  </si>
  <si>
    <t xml:space="preserve">Senior Brønntekniker </t>
  </si>
  <si>
    <t xml:space="preserve">Borevæske Ingeniør </t>
  </si>
  <si>
    <t xml:space="preserve">Senior Dataingeniør </t>
  </si>
  <si>
    <t xml:space="preserve">Senior Geolog </t>
  </si>
  <si>
    <t>Elektro og Instrumenttekniker</t>
  </si>
  <si>
    <t>B</t>
  </si>
  <si>
    <t>Spesial Hydrauliker/ Spesial Kranfører</t>
  </si>
  <si>
    <t xml:space="preserve">Senior FU operatør </t>
  </si>
  <si>
    <t xml:space="preserve">Senior Dykkertekniker </t>
  </si>
  <si>
    <t>Dekksformann</t>
  </si>
  <si>
    <t xml:space="preserve">Brønntekniker </t>
  </si>
  <si>
    <t xml:space="preserve">Dataingeniør </t>
  </si>
  <si>
    <t xml:space="preserve">Geolog </t>
  </si>
  <si>
    <t>Fagarbeider/Sveiser/Kranfører/</t>
  </si>
  <si>
    <t>C</t>
  </si>
  <si>
    <t>Hydrauliker</t>
  </si>
  <si>
    <t xml:space="preserve">FU operatør </t>
  </si>
  <si>
    <t xml:space="preserve">Dykketekniker </t>
  </si>
  <si>
    <t xml:space="preserve">Junior MUB ingeniør </t>
  </si>
  <si>
    <t>Hjelpearbeider / Rigger</t>
  </si>
  <si>
    <t>E</t>
  </si>
  <si>
    <t>Opplæringsstillinger 1)</t>
  </si>
  <si>
    <t>Følgende stillinger avlønnes iht avtalens bestemmelse 3.15.8:</t>
  </si>
  <si>
    <t xml:space="preserve">Senior MUB Ingeniør </t>
  </si>
  <si>
    <t xml:space="preserve">Senior Retningsmåler </t>
  </si>
  <si>
    <t xml:space="preserve">Senior  Borevæske Ingeniør </t>
  </si>
  <si>
    <t xml:space="preserve">Senior Brønnspesialist </t>
  </si>
  <si>
    <t>Senior Arbeidsleder FU</t>
  </si>
  <si>
    <t>Senior Feltgeolog</t>
  </si>
  <si>
    <t>Arbeidsleder FU</t>
  </si>
  <si>
    <t>Fisker</t>
  </si>
  <si>
    <t>Retningsborer</t>
  </si>
  <si>
    <t>1) Gjelder ikke fagarbeiderstilling</t>
  </si>
  <si>
    <t xml:space="preserve">Ny forståelse knyttet til lønnsmatrisen vedr. opplæringsstillinger: Med formuleringen ”gjelder ikke fagarbeidere” menes fagarbeidere som har fagbrev i stillingen vedkommende er / blir ansatt i.
</t>
  </si>
  <si>
    <t>Partene er enige om at:</t>
  </si>
  <si>
    <t>pr. 1.1.2021 strykes lønnstrinn A3, B2, C2 og E3,</t>
  </si>
  <si>
    <t>pr. 1.1.2022 strykes lønnstrinn A4, B3 og E4,</t>
  </si>
  <si>
    <t>pr. 1.1.2023 strykes lønnstrinn B4</t>
  </si>
  <si>
    <t>med mindre partene i forbindelse med hovedoppgjørsforhandlinger blir enige om noe annet.</t>
  </si>
  <si>
    <t>OSA- OSBA</t>
  </si>
  <si>
    <t xml:space="preserve"> Med  47% Sokkelkompensasjon</t>
  </si>
  <si>
    <t>Satser</t>
  </si>
  <si>
    <t>Ansiennitet</t>
  </si>
  <si>
    <t>OSA</t>
  </si>
  <si>
    <t>MUB Ingeniør</t>
  </si>
  <si>
    <t>Årslønn Tariff</t>
  </si>
  <si>
    <t>Retningsmåler</t>
  </si>
  <si>
    <t>Sokkelkompensasjon</t>
  </si>
  <si>
    <t>Borestedsgeolog</t>
  </si>
  <si>
    <t>Månedslønn Ujustert</t>
  </si>
  <si>
    <t>Månedslønn Justert</t>
  </si>
  <si>
    <t>Brønnspesialist</t>
  </si>
  <si>
    <t>Offshore pr. time</t>
  </si>
  <si>
    <t>Senior Surveyor 2</t>
  </si>
  <si>
    <t>Offshore overtid/time</t>
  </si>
  <si>
    <t>Onshore pr. time</t>
  </si>
  <si>
    <t>Junior Fisker</t>
  </si>
  <si>
    <t>Onshore 50% overt.</t>
  </si>
  <si>
    <t>Junior Retningsborer</t>
  </si>
  <si>
    <t>Onshore 100% overt.</t>
  </si>
  <si>
    <t>Senior Brønntekniker</t>
  </si>
  <si>
    <t>Boreveskeingeniør</t>
  </si>
  <si>
    <t>Senior Dataingeniør</t>
  </si>
  <si>
    <t>Senior Geolog</t>
  </si>
  <si>
    <t>Elektro og instrumenttekniker</t>
  </si>
  <si>
    <t>Spesial hydrauliker</t>
  </si>
  <si>
    <t>Spesial kranfører</t>
  </si>
  <si>
    <t>Senior FU-operatør</t>
  </si>
  <si>
    <t>Senior Dykketekniker</t>
  </si>
  <si>
    <t>Surveyor 1</t>
  </si>
  <si>
    <t>Brønntekniker</t>
  </si>
  <si>
    <t>Dataingeniør</t>
  </si>
  <si>
    <t>Geolog</t>
  </si>
  <si>
    <t>Fagarbeider/Sveiser/Kranfører</t>
  </si>
  <si>
    <t>FU-operatør</t>
  </si>
  <si>
    <t>Dykketekniker</t>
  </si>
  <si>
    <t>Junior MUB ing</t>
  </si>
  <si>
    <t>Surveyor 2/ Junior Surveyor</t>
  </si>
  <si>
    <t>Hjelpearbeider, Rigger</t>
  </si>
  <si>
    <t>Opplæringsstilling 1)</t>
  </si>
  <si>
    <t>Ny forståelse knyttet til lønnsmatrisen vedr. opplæringsstillinger: Med formuleringen ”gjelder ikke fagarbeidere” menes fagarbeidere som har fagbrev i stillingen vedkommende er / blir ansatt i.</t>
  </si>
  <si>
    <t xml:space="preserve">Senior Borevæske Ingeniør </t>
  </si>
  <si>
    <t>Senior Surveyor 1</t>
  </si>
  <si>
    <r>
      <t>Arbeidsleder FU</t>
    </r>
    <r>
      <rPr>
        <sz val="9"/>
        <color indexed="10"/>
        <rFont val="Arial"/>
        <family val="2"/>
      </rPr>
      <t xml:space="preserve"> </t>
    </r>
  </si>
  <si>
    <t>(Surveyor stillingene er ikke avklart mellom partene)</t>
  </si>
  <si>
    <r>
      <rPr>
        <b/>
        <sz val="9"/>
        <color indexed="8"/>
        <rFont val="Arial"/>
        <family val="2"/>
      </rPr>
      <t>Med fast avtalt offshorebonus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</t>
    </r>
    <r>
      <rPr>
        <sz val="8"/>
        <color indexed="8"/>
        <rFont val="Arial"/>
        <family val="2"/>
      </rPr>
      <t>fyll inn, i de grønne feltene, den avtalte offshorebonusen som gjelder i ditt selskap)</t>
    </r>
  </si>
  <si>
    <r>
      <t>Borevæske Ingeniør 1</t>
    </r>
    <r>
      <rPr>
        <sz val="14"/>
        <color indexed="10"/>
        <rFont val="Arial"/>
        <family val="2"/>
      </rPr>
      <t xml:space="preserve"> </t>
    </r>
  </si>
  <si>
    <t xml:space="preserve">Dataingeniør spesialist </t>
  </si>
  <si>
    <t>I tillegg kommer: Nattillegg kr. 109 pr. time, og bev. helligdagsgodtgjørelse kr. 2350,- pr. dag</t>
  </si>
  <si>
    <t>Avtale mellom Forbundet Styrke og Offshore Norge</t>
  </si>
  <si>
    <r>
      <t xml:space="preserve">LØNNSMATRISE FRA </t>
    </r>
    <r>
      <rPr>
        <b/>
        <sz val="12"/>
        <color indexed="8"/>
        <rFont val="Arial"/>
        <family val="2"/>
      </rPr>
      <t>1.6.2026</t>
    </r>
  </si>
  <si>
    <t>I tillegg kommer: Nattillegg kr. 116,50 pr. time, og bev. helligdagsgodtgjørelse kr. 2400,- pr. dag</t>
  </si>
  <si>
    <t>Lønnssatser gjeldende fra 1.6.2026</t>
  </si>
  <si>
    <r>
      <t>Ny tekst 2026:</t>
    </r>
    <r>
      <rPr>
        <b/>
        <i/>
        <sz val="12"/>
        <color theme="1"/>
        <rFont val="Aptos"/>
        <family val="2"/>
      </rPr>
      <t xml:space="preserve"> eller stilling som krever ingeniørutdanning (MUB ingeniør, Borevæskeingeniør, Dataingeniør</t>
    </r>
    <r>
      <rPr>
        <i/>
        <sz val="12"/>
        <color theme="1"/>
        <rFont val="Aptos"/>
        <family val="2"/>
      </rPr>
      <t>)</t>
    </r>
  </si>
  <si>
    <t>Merk:</t>
  </si>
  <si>
    <t>Satsene i lønnsmatrisen i pkt. 3.13 økes med kr. 5000 gjeldende fra 1. januar 2027. Tillegget er inklusive sokkelkompensasjon og feriepenger. Det gis ikke ansiennitetsopprykk 01.01.2027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</si>
</sst>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_ ;_ * \-#,##0_ ;_ * &quot;-&quot;??_ ;_ @_ "/>
    <numFmt numFmtId="166" formatCode="_(* #,##0.00_);_(* \(#,##0.00\);_(* &quot;-&quot;??_);_(@_)"/>
    <numFmt numFmtId="167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  <family val="2"/>
    </font>
    <font>
      <b/>
      <sz val="8"/>
      <color indexed="8"/>
      <name val="Century Schoolbook"/>
      <family val="1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rgb="FFFF0000"/>
      <name val="Arial"/>
      <family val="2"/>
    </font>
    <font>
      <sz val="14"/>
      <color indexed="10"/>
      <name val="Arial"/>
      <family val="2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indexed="10"/>
      <name val="Arial"/>
      <family val="2"/>
    </font>
    <font>
      <b/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b/>
      <sz val="11"/>
      <color indexed="8"/>
      <name val="Arial Black"/>
      <family val="2"/>
    </font>
    <font>
      <b/>
      <sz val="12"/>
      <color indexed="8"/>
      <name val="Arial Black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strike/>
      <sz val="11"/>
      <color rgb="FFFF0000"/>
      <name val="Calibri"/>
      <family val="2"/>
      <scheme val="minor"/>
    </font>
    <font>
      <strike/>
      <sz val="8"/>
      <color rgb="FFFF0000"/>
      <name val="Arial"/>
      <family val="2"/>
    </font>
    <font>
      <b/>
      <strike/>
      <sz val="11"/>
      <color rgb="FFFF0000"/>
      <name val="Arial Black"/>
      <family val="2"/>
    </font>
    <font>
      <b/>
      <strike/>
      <sz val="11"/>
      <color rgb="FFFF0000"/>
      <name val="Cambria"/>
      <family val="1"/>
    </font>
    <font>
      <strike/>
      <sz val="8"/>
      <color rgb="FFFF0000"/>
      <name val="Cambria"/>
      <family val="1"/>
    </font>
    <font>
      <i/>
      <sz val="12"/>
      <color theme="1"/>
      <name val="Aptos"/>
      <family val="2"/>
    </font>
    <font>
      <b/>
      <i/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rgb="FFFF0000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7">
    <xf numFmtId="0" fontId="0" fillId="0" borderId="0" xfId="0"/>
    <xf numFmtId="0" fontId="0" fillId="0" borderId="1" xfId="0" applyBorder="1"/>
    <xf numFmtId="16" fontId="3" fillId="2" borderId="2" xfId="0" applyNumberFormat="1" applyFont="1" applyFill="1" applyBorder="1"/>
    <xf numFmtId="0" fontId="0" fillId="0" borderId="3" xfId="0" applyBorder="1"/>
    <xf numFmtId="16" fontId="4" fillId="2" borderId="1" xfId="0" applyNumberFormat="1" applyFont="1" applyFill="1" applyBorder="1"/>
    <xf numFmtId="0" fontId="5" fillId="2" borderId="2" xfId="0" applyFont="1" applyFill="1" applyBorder="1"/>
    <xf numFmtId="0" fontId="0" fillId="0" borderId="2" xfId="0" applyBorder="1"/>
    <xf numFmtId="16" fontId="5" fillId="3" borderId="6" xfId="0" applyNumberFormat="1" applyFont="1" applyFill="1" applyBorder="1"/>
    <xf numFmtId="0" fontId="7" fillId="2" borderId="7" xfId="0" applyFont="1" applyFill="1" applyBorder="1"/>
    <xf numFmtId="0" fontId="5" fillId="2" borderId="0" xfId="0" applyFont="1" applyFill="1"/>
    <xf numFmtId="0" fontId="0" fillId="0" borderId="8" xfId="0" applyBorder="1"/>
    <xf numFmtId="0" fontId="0" fillId="0" borderId="10" xfId="0" applyBorder="1"/>
    <xf numFmtId="0" fontId="8" fillId="4" borderId="4" xfId="0" applyFont="1" applyFill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0" fillId="0" borderId="7" xfId="0" applyBorder="1"/>
    <xf numFmtId="0" fontId="0" fillId="0" borderId="13" xfId="0" applyBorder="1"/>
    <xf numFmtId="0" fontId="0" fillId="0" borderId="4" xfId="0" applyBorder="1"/>
    <xf numFmtId="167" fontId="1" fillId="0" borderId="0" xfId="1" applyNumberFormat="1" applyFont="1" applyBorder="1"/>
    <xf numFmtId="0" fontId="15" fillId="0" borderId="15" xfId="0" applyFont="1" applyBorder="1"/>
    <xf numFmtId="0" fontId="0" fillId="0" borderId="15" xfId="0" applyBorder="1"/>
    <xf numFmtId="0" fontId="5" fillId="3" borderId="0" xfId="0" applyFont="1" applyFill="1"/>
    <xf numFmtId="0" fontId="4" fillId="5" borderId="2" xfId="0" applyFont="1" applyFill="1" applyBorder="1"/>
    <xf numFmtId="0" fontId="6" fillId="0" borderId="7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0" fontId="0" fillId="0" borderId="9" xfId="0" applyBorder="1"/>
    <xf numFmtId="49" fontId="5" fillId="0" borderId="6" xfId="0" applyNumberFormat="1" applyFont="1" applyBorder="1"/>
    <xf numFmtId="49" fontId="6" fillId="0" borderId="5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1" fillId="0" borderId="14" xfId="0" applyFont="1" applyBorder="1"/>
    <xf numFmtId="0" fontId="11" fillId="2" borderId="1" xfId="0" applyFont="1" applyFill="1" applyBorder="1"/>
    <xf numFmtId="0" fontId="11" fillId="0" borderId="7" xfId="0" applyFont="1" applyBorder="1" applyAlignment="1">
      <alignment horizontal="center"/>
    </xf>
    <xf numFmtId="0" fontId="11" fillId="0" borderId="13" xfId="0" applyFont="1" applyBorder="1"/>
    <xf numFmtId="1" fontId="19" fillId="3" borderId="7" xfId="0" applyNumberFormat="1" applyFont="1" applyFill="1" applyBorder="1"/>
    <xf numFmtId="1" fontId="19" fillId="3" borderId="13" xfId="0" applyNumberFormat="1" applyFont="1" applyFill="1" applyBorder="1"/>
    <xf numFmtId="1" fontId="19" fillId="3" borderId="8" xfId="0" applyNumberFormat="1" applyFont="1" applyFill="1" applyBorder="1"/>
    <xf numFmtId="2" fontId="19" fillId="3" borderId="7" xfId="0" applyNumberFormat="1" applyFont="1" applyFill="1" applyBorder="1"/>
    <xf numFmtId="2" fontId="19" fillId="3" borderId="13" xfId="0" applyNumberFormat="1" applyFont="1" applyFill="1" applyBorder="1"/>
    <xf numFmtId="2" fontId="19" fillId="3" borderId="8" xfId="0" applyNumberFormat="1" applyFont="1" applyFill="1" applyBorder="1"/>
    <xf numFmtId="0" fontId="13" fillId="0" borderId="13" xfId="0" applyFont="1" applyBorder="1"/>
    <xf numFmtId="49" fontId="5" fillId="0" borderId="12" xfId="0" applyNumberFormat="1" applyFont="1" applyBorder="1"/>
    <xf numFmtId="2" fontId="19" fillId="3" borderId="4" xfId="0" applyNumberFormat="1" applyFont="1" applyFill="1" applyBorder="1"/>
    <xf numFmtId="2" fontId="19" fillId="3" borderId="12" xfId="0" applyNumberFormat="1" applyFont="1" applyFill="1" applyBorder="1"/>
    <xf numFmtId="0" fontId="9" fillId="0" borderId="14" xfId="0" applyFont="1" applyBorder="1" applyAlignment="1">
      <alignment horizontal="center"/>
    </xf>
    <xf numFmtId="0" fontId="11" fillId="0" borderId="7" xfId="0" applyFont="1" applyBorder="1"/>
    <xf numFmtId="0" fontId="11" fillId="0" borderId="13" xfId="0" applyFont="1" applyBorder="1" applyAlignment="1">
      <alignment horizontal="center"/>
    </xf>
    <xf numFmtId="0" fontId="19" fillId="3" borderId="7" xfId="0" applyFont="1" applyFill="1" applyBorder="1"/>
    <xf numFmtId="0" fontId="11" fillId="0" borderId="12" xfId="0" applyFont="1" applyBorder="1" applyAlignment="1">
      <alignment horizontal="center"/>
    </xf>
    <xf numFmtId="0" fontId="13" fillId="0" borderId="0" xfId="0" applyFont="1"/>
    <xf numFmtId="0" fontId="11" fillId="0" borderId="4" xfId="0" applyFont="1" applyBorder="1"/>
    <xf numFmtId="0" fontId="19" fillId="3" borderId="4" xfId="0" applyFont="1" applyFill="1" applyBorder="1"/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49" fontId="13" fillId="0" borderId="13" xfId="0" applyNumberFormat="1" applyFont="1" applyBorder="1"/>
    <xf numFmtId="0" fontId="11" fillId="0" borderId="12" xfId="0" applyFont="1" applyBorder="1"/>
    <xf numFmtId="0" fontId="20" fillId="0" borderId="0" xfId="0" applyFont="1"/>
    <xf numFmtId="49" fontId="17" fillId="0" borderId="0" xfId="0" applyNumberFormat="1" applyFont="1"/>
    <xf numFmtId="0" fontId="17" fillId="2" borderId="0" xfId="0" applyFont="1" applyFill="1"/>
    <xf numFmtId="0" fontId="21" fillId="0" borderId="0" xfId="0" applyFont="1"/>
    <xf numFmtId="0" fontId="21" fillId="0" borderId="16" xfId="0" applyFont="1" applyBorder="1" applyAlignment="1">
      <alignment horizontal="left"/>
    </xf>
    <xf numFmtId="0" fontId="21" fillId="0" borderId="17" xfId="0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22" fillId="2" borderId="16" xfId="0" applyFont="1" applyFill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2" fillId="0" borderId="0" xfId="0" applyFont="1"/>
    <xf numFmtId="0" fontId="4" fillId="6" borderId="2" xfId="0" applyFont="1" applyFill="1" applyBorder="1"/>
    <xf numFmtId="0" fontId="5" fillId="6" borderId="2" xfId="0" applyFont="1" applyFill="1" applyBorder="1"/>
    <xf numFmtId="3" fontId="3" fillId="3" borderId="3" xfId="0" applyNumberFormat="1" applyFont="1" applyFill="1" applyBorder="1" applyAlignment="1">
      <alignment vertical="top"/>
    </xf>
    <xf numFmtId="0" fontId="17" fillId="3" borderId="10" xfId="0" applyFont="1" applyFill="1" applyBorder="1"/>
    <xf numFmtId="0" fontId="18" fillId="3" borderId="10" xfId="0" applyFont="1" applyFill="1" applyBorder="1"/>
    <xf numFmtId="0" fontId="21" fillId="0" borderId="0" xfId="0" applyFont="1" applyAlignment="1">
      <alignment vertical="center"/>
    </xf>
    <xf numFmtId="16" fontId="3" fillId="2" borderId="0" xfId="0" applyNumberFormat="1" applyFont="1" applyFill="1"/>
    <xf numFmtId="0" fontId="4" fillId="3" borderId="0" xfId="0" applyFont="1" applyFill="1"/>
    <xf numFmtId="0" fontId="0" fillId="6" borderId="2" xfId="0" applyFill="1" applyBorder="1"/>
    <xf numFmtId="0" fontId="6" fillId="3" borderId="13" xfId="0" applyFont="1" applyFill="1" applyBorder="1" applyAlignment="1">
      <alignment horizontal="center"/>
    </xf>
    <xf numFmtId="0" fontId="0" fillId="0" borderId="17" xfId="0" applyBorder="1"/>
    <xf numFmtId="3" fontId="3" fillId="3" borderId="20" xfId="0" applyNumberFormat="1" applyFont="1" applyFill="1" applyBorder="1" applyAlignment="1">
      <alignment vertical="top"/>
    </xf>
    <xf numFmtId="0" fontId="5" fillId="3" borderId="19" xfId="0" applyFont="1" applyFill="1" applyBorder="1"/>
    <xf numFmtId="0" fontId="0" fillId="3" borderId="19" xfId="0" applyFill="1" applyBorder="1"/>
    <xf numFmtId="0" fontId="0" fillId="0" borderId="16" xfId="0" applyBorder="1"/>
    <xf numFmtId="0" fontId="0" fillId="0" borderId="18" xfId="0" applyBorder="1"/>
    <xf numFmtId="0" fontId="0" fillId="3" borderId="13" xfId="0" applyFill="1" applyBorder="1"/>
    <xf numFmtId="0" fontId="0" fillId="0" borderId="12" xfId="0" applyBorder="1"/>
    <xf numFmtId="0" fontId="0" fillId="0" borderId="14" xfId="0" applyBorder="1"/>
    <xf numFmtId="0" fontId="21" fillId="0" borderId="23" xfId="0" applyFont="1" applyBorder="1" applyAlignment="1">
      <alignment horizontal="left"/>
    </xf>
    <xf numFmtId="0" fontId="0" fillId="0" borderId="11" xfId="0" applyBorder="1"/>
    <xf numFmtId="1" fontId="19" fillId="3" borderId="0" xfId="0" applyNumberFormat="1" applyFont="1" applyFill="1"/>
    <xf numFmtId="2" fontId="19" fillId="3" borderId="0" xfId="0" applyNumberFormat="1" applyFont="1" applyFill="1"/>
    <xf numFmtId="2" fontId="19" fillId="3" borderId="5" xfId="0" applyNumberFormat="1" applyFont="1" applyFill="1" applyBorder="1"/>
    <xf numFmtId="2" fontId="19" fillId="3" borderId="6" xfId="0" applyNumberFormat="1" applyFont="1" applyFill="1" applyBorder="1"/>
    <xf numFmtId="1" fontId="19" fillId="7" borderId="7" xfId="0" applyNumberFormat="1" applyFont="1" applyFill="1" applyBorder="1"/>
    <xf numFmtId="1" fontId="19" fillId="7" borderId="13" xfId="0" applyNumberFormat="1" applyFont="1" applyFill="1" applyBorder="1"/>
    <xf numFmtId="1" fontId="19" fillId="7" borderId="0" xfId="0" applyNumberFormat="1" applyFont="1" applyFill="1"/>
    <xf numFmtId="1" fontId="0" fillId="7" borderId="13" xfId="0" applyNumberFormat="1" applyFill="1" applyBorder="1"/>
    <xf numFmtId="2" fontId="0" fillId="0" borderId="13" xfId="0" applyNumberFormat="1" applyBorder="1"/>
    <xf numFmtId="1" fontId="0" fillId="0" borderId="13" xfId="0" applyNumberFormat="1" applyBorder="1"/>
    <xf numFmtId="2" fontId="0" fillId="0" borderId="12" xfId="0" applyNumberFormat="1" applyBorder="1"/>
    <xf numFmtId="3" fontId="28" fillId="3" borderId="13" xfId="0" applyNumberFormat="1" applyFont="1" applyFill="1" applyBorder="1" applyAlignment="1">
      <alignment vertical="top"/>
    </xf>
    <xf numFmtId="3" fontId="28" fillId="3" borderId="7" xfId="0" applyNumberFormat="1" applyFont="1" applyFill="1" applyBorder="1" applyAlignment="1">
      <alignment vertical="top"/>
    </xf>
    <xf numFmtId="165" fontId="27" fillId="3" borderId="13" xfId="1" applyNumberFormat="1" applyFont="1" applyFill="1" applyBorder="1"/>
    <xf numFmtId="3" fontId="29" fillId="3" borderId="14" xfId="0" applyNumberFormat="1" applyFont="1" applyFill="1" applyBorder="1" applyAlignment="1">
      <alignment vertical="top"/>
    </xf>
    <xf numFmtId="3" fontId="28" fillId="3" borderId="3" xfId="0" applyNumberFormat="1" applyFont="1" applyFill="1" applyBorder="1" applyAlignment="1">
      <alignment vertical="top"/>
    </xf>
    <xf numFmtId="3" fontId="28" fillId="3" borderId="14" xfId="0" applyNumberFormat="1" applyFont="1" applyFill="1" applyBorder="1" applyAlignment="1">
      <alignment vertical="top"/>
    </xf>
    <xf numFmtId="3" fontId="28" fillId="3" borderId="1" xfId="0" applyNumberFormat="1" applyFont="1" applyFill="1" applyBorder="1" applyAlignment="1">
      <alignment vertical="top"/>
    </xf>
    <xf numFmtId="165" fontId="27" fillId="3" borderId="1" xfId="1" applyNumberFormat="1" applyFont="1" applyFill="1" applyBorder="1"/>
    <xf numFmtId="3" fontId="3" fillId="3" borderId="21" xfId="0" applyNumberFormat="1" applyFont="1" applyFill="1" applyBorder="1" applyAlignment="1">
      <alignment vertical="top"/>
    </xf>
    <xf numFmtId="0" fontId="0" fillId="0" borderId="22" xfId="0" applyBorder="1"/>
    <xf numFmtId="0" fontId="30" fillId="0" borderId="9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26" fillId="8" borderId="24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0" fillId="10" borderId="22" xfId="0" applyFill="1" applyBorder="1"/>
    <xf numFmtId="0" fontId="0" fillId="10" borderId="27" xfId="0" applyFill="1" applyBorder="1"/>
    <xf numFmtId="0" fontId="31" fillId="0" borderId="17" xfId="0" applyFont="1" applyBorder="1" applyAlignment="1">
      <alignment vertical="center"/>
    </xf>
    <xf numFmtId="0" fontId="31" fillId="9" borderId="17" xfId="0" applyFont="1" applyFill="1" applyBorder="1" applyAlignment="1">
      <alignment vertical="center"/>
    </xf>
    <xf numFmtId="0" fontId="31" fillId="9" borderId="28" xfId="0" applyFont="1" applyFill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1" fillId="9" borderId="29" xfId="0" applyFont="1" applyFill="1" applyBorder="1" applyAlignment="1">
      <alignment vertical="center"/>
    </xf>
    <xf numFmtId="0" fontId="31" fillId="9" borderId="30" xfId="0" applyFont="1" applyFill="1" applyBorder="1" applyAlignment="1">
      <alignment vertical="center"/>
    </xf>
    <xf numFmtId="0" fontId="0" fillId="0" borderId="31" xfId="0" applyBorder="1"/>
    <xf numFmtId="0" fontId="0" fillId="10" borderId="31" xfId="0" applyFill="1" applyBorder="1"/>
    <xf numFmtId="0" fontId="0" fillId="10" borderId="32" xfId="0" applyFill="1" applyBorder="1"/>
    <xf numFmtId="0" fontId="33" fillId="0" borderId="0" xfId="0" applyFont="1"/>
    <xf numFmtId="3" fontId="12" fillId="0" borderId="0" xfId="0" applyNumberFormat="1" applyFont="1"/>
    <xf numFmtId="167" fontId="33" fillId="0" borderId="0" xfId="1" applyNumberFormat="1" applyFont="1" applyFill="1" applyBorder="1"/>
    <xf numFmtId="0" fontId="26" fillId="0" borderId="1" xfId="0" applyFont="1" applyBorder="1" applyAlignment="1">
      <alignment vertical="center" wrapText="1"/>
    </xf>
    <xf numFmtId="0" fontId="0" fillId="0" borderId="23" xfId="0" applyBorder="1"/>
    <xf numFmtId="0" fontId="31" fillId="0" borderId="1" xfId="0" applyFont="1" applyBorder="1" applyAlignment="1">
      <alignment vertical="center" wrapText="1"/>
    </xf>
    <xf numFmtId="0" fontId="31" fillId="0" borderId="7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2" fillId="0" borderId="4" xfId="0" applyFont="1" applyBorder="1" applyAlignment="1">
      <alignment vertical="center" wrapText="1"/>
    </xf>
    <xf numFmtId="0" fontId="34" fillId="3" borderId="22" xfId="0" applyFont="1" applyFill="1" applyBorder="1"/>
    <xf numFmtId="0" fontId="35" fillId="3" borderId="17" xfId="0" applyFont="1" applyFill="1" applyBorder="1" applyAlignment="1">
      <alignment vertical="center"/>
    </xf>
    <xf numFmtId="0" fontId="35" fillId="3" borderId="29" xfId="0" applyFont="1" applyFill="1" applyBorder="1" applyAlignment="1">
      <alignment vertical="center"/>
    </xf>
    <xf numFmtId="0" fontId="31" fillId="3" borderId="29" xfId="0" applyFont="1" applyFill="1" applyBorder="1" applyAlignment="1">
      <alignment vertical="center"/>
    </xf>
    <xf numFmtId="0" fontId="0" fillId="3" borderId="22" xfId="0" applyFill="1" applyBorder="1"/>
    <xf numFmtId="0" fontId="0" fillId="3" borderId="0" xfId="0" applyFill="1"/>
    <xf numFmtId="3" fontId="28" fillId="3" borderId="8" xfId="0" applyNumberFormat="1" applyFont="1" applyFill="1" applyBorder="1" applyAlignment="1">
      <alignment vertical="top"/>
    </xf>
    <xf numFmtId="165" fontId="19" fillId="7" borderId="0" xfId="1" applyNumberFormat="1" applyFont="1" applyFill="1" applyBorder="1"/>
    <xf numFmtId="165" fontId="19" fillId="7" borderId="8" xfId="1" applyNumberFormat="1" applyFont="1" applyFill="1" applyBorder="1"/>
    <xf numFmtId="0" fontId="21" fillId="0" borderId="7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9" fillId="3" borderId="33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" fontId="0" fillId="7" borderId="8" xfId="0" applyNumberFormat="1" applyFill="1" applyBorder="1"/>
    <xf numFmtId="1" fontId="0" fillId="0" borderId="8" xfId="0" applyNumberFormat="1" applyBorder="1"/>
    <xf numFmtId="2" fontId="0" fillId="0" borderId="8" xfId="0" applyNumberFormat="1" applyBorder="1"/>
    <xf numFmtId="2" fontId="0" fillId="0" borderId="6" xfId="0" applyNumberFormat="1" applyBorder="1"/>
    <xf numFmtId="0" fontId="6" fillId="3" borderId="14" xfId="0" applyFont="1" applyFill="1" applyBorder="1" applyAlignment="1">
      <alignment horizontal="center"/>
    </xf>
    <xf numFmtId="0" fontId="0" fillId="3" borderId="34" xfId="0" applyFill="1" applyBorder="1"/>
    <xf numFmtId="1" fontId="0" fillId="7" borderId="0" xfId="0" applyNumberFormat="1" applyFill="1"/>
    <xf numFmtId="1" fontId="0" fillId="0" borderId="0" xfId="0" applyNumberFormat="1"/>
    <xf numFmtId="2" fontId="0" fillId="0" borderId="0" xfId="0" applyNumberFormat="1"/>
    <xf numFmtId="2" fontId="0" fillId="0" borderId="5" xfId="0" applyNumberFormat="1" applyBorder="1"/>
    <xf numFmtId="165" fontId="19" fillId="7" borderId="13" xfId="1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165" fontId="19" fillId="0" borderId="13" xfId="1" applyNumberFormat="1" applyFont="1" applyBorder="1"/>
    <xf numFmtId="165" fontId="19" fillId="0" borderId="13" xfId="0" applyNumberFormat="1" applyFont="1" applyBorder="1"/>
    <xf numFmtId="164" fontId="19" fillId="0" borderId="13" xfId="1" applyFont="1" applyBorder="1"/>
    <xf numFmtId="164" fontId="19" fillId="0" borderId="34" xfId="1" applyFont="1" applyBorder="1"/>
    <xf numFmtId="0" fontId="0" fillId="0" borderId="35" xfId="0" applyBorder="1"/>
    <xf numFmtId="0" fontId="26" fillId="8" borderId="37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36" xfId="0" applyBorder="1" applyAlignment="1">
      <alignment vertical="center"/>
    </xf>
    <xf numFmtId="0" fontId="26" fillId="0" borderId="38" xfId="0" applyFont="1" applyBorder="1" applyAlignment="1">
      <alignment vertical="center"/>
    </xf>
    <xf numFmtId="0" fontId="0" fillId="0" borderId="39" xfId="0" applyBorder="1"/>
    <xf numFmtId="0" fontId="0" fillId="0" borderId="40" xfId="0" applyBorder="1"/>
    <xf numFmtId="0" fontId="31" fillId="0" borderId="41" xfId="0" applyFont="1" applyBorder="1" applyAlignment="1">
      <alignment vertical="center"/>
    </xf>
    <xf numFmtId="0" fontId="0" fillId="0" borderId="42" xfId="0" applyBorder="1"/>
    <xf numFmtId="0" fontId="33" fillId="0" borderId="41" xfId="0" applyFont="1" applyBorder="1" applyAlignment="1">
      <alignment vertical="center"/>
    </xf>
    <xf numFmtId="0" fontId="33" fillId="0" borderId="43" xfId="0" applyFont="1" applyBorder="1" applyAlignment="1">
      <alignment vertical="center"/>
    </xf>
    <xf numFmtId="0" fontId="0" fillId="0" borderId="44" xfId="0" applyBorder="1"/>
    <xf numFmtId="0" fontId="0" fillId="3" borderId="45" xfId="0" applyFill="1" applyBorder="1"/>
    <xf numFmtId="0" fontId="31" fillId="3" borderId="18" xfId="0" applyFont="1" applyFill="1" applyBorder="1" applyAlignment="1">
      <alignment vertical="center"/>
    </xf>
    <xf numFmtId="0" fontId="31" fillId="3" borderId="36" xfId="0" applyFont="1" applyFill="1" applyBorder="1" applyAlignment="1">
      <alignment vertical="center"/>
    </xf>
    <xf numFmtId="0" fontId="31" fillId="0" borderId="38" xfId="0" applyFont="1" applyBorder="1" applyAlignment="1">
      <alignment vertical="center"/>
    </xf>
    <xf numFmtId="0" fontId="31" fillId="0" borderId="41" xfId="0" applyFont="1" applyBorder="1" applyAlignment="1">
      <alignment vertical="center" wrapText="1"/>
    </xf>
    <xf numFmtId="0" fontId="31" fillId="0" borderId="43" xfId="0" applyFont="1" applyBorder="1" applyAlignment="1">
      <alignment vertical="center"/>
    </xf>
    <xf numFmtId="0" fontId="0" fillId="8" borderId="26" xfId="0" applyFill="1" applyBorder="1"/>
    <xf numFmtId="0" fontId="31" fillId="8" borderId="36" xfId="0" applyFont="1" applyFill="1" applyBorder="1" applyAlignment="1">
      <alignment vertical="center"/>
    </xf>
    <xf numFmtId="0" fontId="36" fillId="0" borderId="22" xfId="0" applyFont="1" applyBorder="1"/>
    <xf numFmtId="165" fontId="37" fillId="3" borderId="8" xfId="1" applyNumberFormat="1" applyFont="1" applyFill="1" applyBorder="1"/>
    <xf numFmtId="166" fontId="37" fillId="3" borderId="8" xfId="1" applyNumberFormat="1" applyFont="1" applyFill="1" applyBorder="1"/>
    <xf numFmtId="166" fontId="37" fillId="3" borderId="6" xfId="1" applyNumberFormat="1" applyFont="1" applyFill="1" applyBorder="1"/>
    <xf numFmtId="3" fontId="38" fillId="3" borderId="1" xfId="0" applyNumberFormat="1" applyFont="1" applyFill="1" applyBorder="1" applyAlignment="1">
      <alignment vertical="top"/>
    </xf>
    <xf numFmtId="3" fontId="39" fillId="3" borderId="13" xfId="0" applyNumberFormat="1" applyFont="1" applyFill="1" applyBorder="1" applyAlignment="1">
      <alignment vertical="top"/>
    </xf>
    <xf numFmtId="165" fontId="40" fillId="3" borderId="0" xfId="1" applyNumberFormat="1" applyFont="1" applyFill="1" applyBorder="1"/>
    <xf numFmtId="166" fontId="40" fillId="3" borderId="0" xfId="1" applyNumberFormat="1" applyFont="1" applyFill="1" applyBorder="1"/>
    <xf numFmtId="3" fontId="39" fillId="3" borderId="14" xfId="0" applyNumberFormat="1" applyFont="1" applyFill="1" applyBorder="1" applyAlignment="1">
      <alignment vertical="top"/>
    </xf>
    <xf numFmtId="165" fontId="40" fillId="3" borderId="8" xfId="1" applyNumberFormat="1" applyFont="1" applyFill="1" applyBorder="1"/>
    <xf numFmtId="166" fontId="40" fillId="3" borderId="8" xfId="1" applyNumberFormat="1" applyFont="1" applyFill="1" applyBorder="1"/>
    <xf numFmtId="166" fontId="40" fillId="3" borderId="6" xfId="1" applyNumberFormat="1" applyFont="1" applyFill="1" applyBorder="1"/>
    <xf numFmtId="165" fontId="40" fillId="3" borderId="13" xfId="1" applyNumberFormat="1" applyFont="1" applyFill="1" applyBorder="1"/>
    <xf numFmtId="166" fontId="40" fillId="3" borderId="13" xfId="1" applyNumberFormat="1" applyFont="1" applyFill="1" applyBorder="1"/>
    <xf numFmtId="166" fontId="40" fillId="3" borderId="12" xfId="1" applyNumberFormat="1" applyFont="1" applyFill="1" applyBorder="1"/>
    <xf numFmtId="165" fontId="40" fillId="3" borderId="12" xfId="1" applyNumberFormat="1" applyFont="1" applyFill="1" applyBorder="1"/>
    <xf numFmtId="49" fontId="5" fillId="0" borderId="5" xfId="0" applyNumberFormat="1" applyFont="1" applyBorder="1"/>
    <xf numFmtId="0" fontId="11" fillId="2" borderId="7" xfId="0" applyFont="1" applyFill="1" applyBorder="1"/>
    <xf numFmtId="165" fontId="5" fillId="3" borderId="8" xfId="1" applyNumberFormat="1" applyFont="1" applyFill="1" applyBorder="1"/>
    <xf numFmtId="0" fontId="11" fillId="2" borderId="7" xfId="0" applyFont="1" applyFill="1" applyBorder="1" applyAlignment="1">
      <alignment horizontal="left"/>
    </xf>
    <xf numFmtId="166" fontId="5" fillId="3" borderId="8" xfId="1" applyNumberFormat="1" applyFont="1" applyFill="1" applyBorder="1"/>
    <xf numFmtId="0" fontId="11" fillId="2" borderId="4" xfId="0" applyFont="1" applyFill="1" applyBorder="1" applyAlignment="1">
      <alignment horizontal="left"/>
    </xf>
    <xf numFmtId="166" fontId="5" fillId="3" borderId="6" xfId="1" applyNumberFormat="1" applyFont="1" applyFill="1" applyBorder="1"/>
    <xf numFmtId="165" fontId="5" fillId="3" borderId="21" xfId="1" applyNumberFormat="1" applyFont="1" applyFill="1" applyBorder="1"/>
    <xf numFmtId="165" fontId="5" fillId="3" borderId="13" xfId="1" applyNumberFormat="1" applyFont="1" applyFill="1" applyBorder="1"/>
    <xf numFmtId="165" fontId="5" fillId="0" borderId="13" xfId="1" applyNumberFormat="1" applyFont="1" applyFill="1" applyBorder="1"/>
    <xf numFmtId="166" fontId="5" fillId="3" borderId="21" xfId="1" applyNumberFormat="1" applyFont="1" applyFill="1" applyBorder="1"/>
    <xf numFmtId="166" fontId="5" fillId="3" borderId="13" xfId="1" applyNumberFormat="1" applyFont="1" applyFill="1" applyBorder="1"/>
    <xf numFmtId="166" fontId="5" fillId="3" borderId="0" xfId="1" applyNumberFormat="1" applyFont="1" applyFill="1" applyBorder="1"/>
    <xf numFmtId="0" fontId="5" fillId="3" borderId="21" xfId="0" applyFont="1" applyFill="1" applyBorder="1"/>
    <xf numFmtId="0" fontId="5" fillId="3" borderId="6" xfId="0" applyFont="1" applyFill="1" applyBorder="1"/>
    <xf numFmtId="0" fontId="5" fillId="3" borderId="12" xfId="0" applyFont="1" applyFill="1" applyBorder="1"/>
    <xf numFmtId="0" fontId="5" fillId="2" borderId="5" xfId="0" applyFont="1" applyFill="1" applyBorder="1"/>
    <xf numFmtId="165" fontId="5" fillId="7" borderId="8" xfId="1" applyNumberFormat="1" applyFont="1" applyFill="1" applyBorder="1"/>
    <xf numFmtId="165" fontId="5" fillId="7" borderId="0" xfId="1" applyNumberFormat="1" applyFont="1" applyFill="1" applyBorder="1"/>
    <xf numFmtId="165" fontId="5" fillId="3" borderId="0" xfId="1" applyNumberFormat="1" applyFont="1" applyFill="1" applyBorder="1"/>
    <xf numFmtId="166" fontId="5" fillId="3" borderId="22" xfId="1" applyNumberFormat="1" applyFont="1" applyFill="1" applyBorder="1"/>
    <xf numFmtId="166" fontId="5" fillId="3" borderId="5" xfId="1" applyNumberFormat="1" applyFont="1" applyFill="1" applyBorder="1"/>
    <xf numFmtId="165" fontId="5" fillId="6" borderId="8" xfId="1" applyNumberFormat="1" applyFont="1" applyFill="1" applyBorder="1"/>
    <xf numFmtId="165" fontId="5" fillId="3" borderId="7" xfId="1" applyNumberFormat="1" applyFont="1" applyFill="1" applyBorder="1"/>
    <xf numFmtId="165" fontId="5" fillId="6" borderId="13" xfId="1" applyNumberFormat="1" applyFont="1" applyFill="1" applyBorder="1"/>
    <xf numFmtId="166" fontId="5" fillId="3" borderId="7" xfId="1" applyNumberFormat="1" applyFont="1" applyFill="1" applyBorder="1"/>
    <xf numFmtId="0" fontId="5" fillId="3" borderId="4" xfId="0" applyFont="1" applyFill="1" applyBorder="1"/>
    <xf numFmtId="166" fontId="5" fillId="3" borderId="12" xfId="1" applyNumberFormat="1" applyFont="1" applyFill="1" applyBorder="1"/>
    <xf numFmtId="165" fontId="28" fillId="3" borderId="1" xfId="1" applyNumberFormat="1" applyFont="1" applyFill="1" applyBorder="1" applyAlignment="1">
      <alignment vertical="top"/>
    </xf>
    <xf numFmtId="165" fontId="29" fillId="3" borderId="14" xfId="1" applyNumberFormat="1" applyFont="1" applyFill="1" applyBorder="1" applyAlignment="1">
      <alignment vertical="top"/>
    </xf>
    <xf numFmtId="165" fontId="29" fillId="3" borderId="1" xfId="1" applyNumberFormat="1" applyFont="1" applyFill="1" applyBorder="1" applyAlignment="1">
      <alignment vertical="top"/>
    </xf>
    <xf numFmtId="165" fontId="28" fillId="3" borderId="14" xfId="1" applyNumberFormat="1" applyFont="1" applyFill="1" applyBorder="1" applyAlignment="1">
      <alignment vertical="top"/>
    </xf>
    <xf numFmtId="165" fontId="28" fillId="3" borderId="3" xfId="1" applyNumberFormat="1" applyFont="1" applyFill="1" applyBorder="1" applyAlignment="1">
      <alignment vertical="top"/>
    </xf>
    <xf numFmtId="0" fontId="6" fillId="3" borderId="33" xfId="0" applyFont="1" applyFill="1" applyBorder="1" applyAlignment="1">
      <alignment horizontal="center"/>
    </xf>
    <xf numFmtId="0" fontId="31" fillId="10" borderId="22" xfId="0" applyFont="1" applyFill="1" applyBorder="1" applyAlignment="1">
      <alignment vertical="center"/>
    </xf>
    <xf numFmtId="0" fontId="31" fillId="10" borderId="27" xfId="0" applyFont="1" applyFill="1" applyBorder="1" applyAlignment="1">
      <alignment vertical="center"/>
    </xf>
    <xf numFmtId="165" fontId="28" fillId="3" borderId="2" xfId="1" applyNumberFormat="1" applyFont="1" applyFill="1" applyBorder="1" applyAlignment="1">
      <alignment vertical="top"/>
    </xf>
    <xf numFmtId="1" fontId="0" fillId="7" borderId="7" xfId="0" applyNumberFormat="1" applyFill="1" applyBorder="1"/>
    <xf numFmtId="1" fontId="0" fillId="0" borderId="7" xfId="0" applyNumberFormat="1" applyBorder="1"/>
    <xf numFmtId="2" fontId="0" fillId="0" borderId="7" xfId="0" applyNumberFormat="1" applyBorder="1"/>
    <xf numFmtId="2" fontId="0" fillId="0" borderId="4" xfId="0" applyNumberFormat="1" applyBorder="1"/>
    <xf numFmtId="0" fontId="41" fillId="0" borderId="0" xfId="0" applyFont="1"/>
    <xf numFmtId="0" fontId="0" fillId="0" borderId="0" xfId="0" applyAlignment="1">
      <alignment vertical="top"/>
    </xf>
    <xf numFmtId="0" fontId="6" fillId="3" borderId="10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33" fillId="0" borderId="16" xfId="0" applyFont="1" applyBorder="1" applyAlignment="1">
      <alignment vertical="top" wrapText="1"/>
    </xf>
    <xf numFmtId="0" fontId="33" fillId="0" borderId="23" xfId="0" applyFont="1" applyBorder="1" applyAlignment="1">
      <alignment vertical="top" wrapText="1"/>
    </xf>
    <xf numFmtId="0" fontId="33" fillId="0" borderId="18" xfId="0" applyFont="1" applyBorder="1" applyAlignment="1">
      <alignment vertical="top" wrapText="1"/>
    </xf>
    <xf numFmtId="0" fontId="41" fillId="0" borderId="0" xfId="0" applyFont="1" applyAlignment="1">
      <alignment horizontal="left" vertical="top" wrapText="1"/>
    </xf>
    <xf numFmtId="0" fontId="10" fillId="0" borderId="9" xfId="0" applyFont="1" applyBorder="1"/>
    <xf numFmtId="0" fontId="26" fillId="9" borderId="46" xfId="0" applyFont="1" applyFill="1" applyBorder="1" applyAlignment="1">
      <alignment horizontal="center" vertic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zoomScaleNormal="100" zoomScaleSheetLayoutView="85" workbookViewId="0">
      <selection activeCell="H10" sqref="H10"/>
    </sheetView>
  </sheetViews>
  <sheetFormatPr baseColWidth="10" defaultColWidth="11.42578125" defaultRowHeight="15" x14ac:dyDescent="0.25"/>
  <sheetData>
    <row r="1" spans="1:16" ht="15.75" thickBot="1" x14ac:dyDescent="0.3">
      <c r="A1" s="1"/>
      <c r="B1" s="108" t="s">
        <v>103</v>
      </c>
      <c r="C1" s="109"/>
      <c r="D1" s="11"/>
      <c r="E1" s="11"/>
      <c r="F1" s="11"/>
      <c r="G1" s="11"/>
      <c r="H1" s="11"/>
      <c r="I1" s="11"/>
      <c r="J1" s="11"/>
      <c r="K1" s="11"/>
      <c r="L1" s="11"/>
      <c r="M1" s="11"/>
      <c r="N1" s="146"/>
      <c r="O1" s="11"/>
      <c r="P1" s="86"/>
    </row>
    <row r="2" spans="1:16" ht="15.75" thickBot="1" x14ac:dyDescent="0.3">
      <c r="A2" s="15"/>
      <c r="B2" s="255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46"/>
      <c r="O2" s="146"/>
      <c r="P2" s="147"/>
    </row>
    <row r="3" spans="1:16" ht="15.75" thickBot="1" x14ac:dyDescent="0.3">
      <c r="A3" s="128"/>
      <c r="B3" s="173"/>
      <c r="C3" s="174"/>
      <c r="D3" s="175"/>
      <c r="E3" s="169">
        <v>1</v>
      </c>
      <c r="F3" s="110">
        <v>2</v>
      </c>
      <c r="G3" s="111">
        <v>3</v>
      </c>
      <c r="H3" s="111">
        <v>4</v>
      </c>
      <c r="I3" s="112">
        <v>5</v>
      </c>
      <c r="J3" s="112">
        <v>6</v>
      </c>
      <c r="K3" s="112">
        <v>7</v>
      </c>
      <c r="L3" s="112">
        <v>8</v>
      </c>
      <c r="M3" s="112">
        <v>9</v>
      </c>
      <c r="N3" s="256">
        <v>10</v>
      </c>
      <c r="O3" s="112">
        <v>11</v>
      </c>
      <c r="P3" s="113">
        <v>12</v>
      </c>
    </row>
    <row r="4" spans="1:16" x14ac:dyDescent="0.25">
      <c r="A4" s="131"/>
      <c r="B4" s="176" t="s">
        <v>1</v>
      </c>
      <c r="C4" s="129"/>
      <c r="D4" s="177"/>
      <c r="E4" s="170"/>
      <c r="F4" s="136"/>
      <c r="G4" s="107"/>
      <c r="H4" s="189"/>
      <c r="I4" s="114">
        <f>703562+19700+1400+11646+19500+25000+46890+36000+6500+22000+47000</f>
        <v>939198</v>
      </c>
      <c r="J4" s="114">
        <f>708562+19700+1400+11646+19500+25000+46890+36000+6500+22000+47000</f>
        <v>944198</v>
      </c>
      <c r="K4" s="114">
        <f>713562+19700+1400+11646+19500+25000+46890+36000+6500+22000+47000</f>
        <v>949198</v>
      </c>
      <c r="L4" s="114">
        <f>718562+19700+1400+11646+19500+25000+46890+36000+6500+22000+47000</f>
        <v>954198</v>
      </c>
      <c r="M4" s="114">
        <f>723562+19700+1400+11646+19500+25000+46890+36000+6500+22000+47000</f>
        <v>959198</v>
      </c>
      <c r="N4" s="114">
        <f>728562+19700+1400+11646+19500+25000+46890+36000+6500+22000+47000</f>
        <v>964198</v>
      </c>
      <c r="O4" s="114">
        <f>733562+19700+1400+11646+19500+25000+46890+36000+6500+22000+47000</f>
        <v>969198</v>
      </c>
      <c r="P4" s="115">
        <f>738562+19700+1400+11646+19500+25000+46890+36000+6500+22000+47000</f>
        <v>974198</v>
      </c>
    </row>
    <row r="5" spans="1:16" x14ac:dyDescent="0.25">
      <c r="A5" s="131"/>
      <c r="B5" s="176" t="s">
        <v>2</v>
      </c>
      <c r="C5" s="129"/>
      <c r="D5" s="177"/>
      <c r="E5" s="171"/>
      <c r="F5" s="137"/>
      <c r="G5" s="116"/>
      <c r="H5" s="116"/>
      <c r="I5" s="117"/>
      <c r="J5" s="117"/>
      <c r="K5" s="117"/>
      <c r="L5" s="117"/>
      <c r="M5" s="117"/>
      <c r="N5" s="117"/>
      <c r="O5" s="117"/>
      <c r="P5" s="118"/>
    </row>
    <row r="6" spans="1:16" x14ac:dyDescent="0.25">
      <c r="A6" s="131"/>
      <c r="B6" s="176" t="s">
        <v>3</v>
      </c>
      <c r="C6" s="129"/>
      <c r="D6" s="177"/>
      <c r="E6" s="171"/>
      <c r="F6" s="137"/>
      <c r="G6" s="116" t="s">
        <v>4</v>
      </c>
      <c r="H6" s="116" t="s">
        <v>4</v>
      </c>
      <c r="I6" s="117" t="s">
        <v>4</v>
      </c>
      <c r="J6" s="117"/>
      <c r="K6" s="117" t="s">
        <v>4</v>
      </c>
      <c r="L6" s="117"/>
      <c r="M6" s="117"/>
      <c r="N6" s="117" t="s">
        <v>4</v>
      </c>
      <c r="O6" s="117"/>
      <c r="P6" s="118" t="s">
        <v>4</v>
      </c>
    </row>
    <row r="7" spans="1:16" x14ac:dyDescent="0.25">
      <c r="A7" s="131"/>
      <c r="B7" s="176" t="s">
        <v>5</v>
      </c>
      <c r="C7" s="129"/>
      <c r="D7" s="177"/>
      <c r="E7" s="171"/>
      <c r="F7" s="137"/>
      <c r="G7" s="116"/>
      <c r="H7" s="116"/>
      <c r="I7" s="117"/>
      <c r="J7" s="117"/>
      <c r="K7" s="117"/>
      <c r="L7" s="117"/>
      <c r="M7" s="117"/>
      <c r="N7" s="117"/>
      <c r="O7" s="117"/>
      <c r="P7" s="118"/>
    </row>
    <row r="8" spans="1:16" ht="18.75" x14ac:dyDescent="0.25">
      <c r="A8" s="132" t="s">
        <v>6</v>
      </c>
      <c r="B8" s="176" t="s">
        <v>7</v>
      </c>
      <c r="C8" s="129"/>
      <c r="D8" s="177"/>
      <c r="E8" s="171"/>
      <c r="F8" s="137"/>
      <c r="G8" s="116"/>
      <c r="H8" s="116"/>
      <c r="I8" s="117"/>
      <c r="J8" s="117"/>
      <c r="K8" s="117"/>
      <c r="L8" s="117"/>
      <c r="M8" s="117"/>
      <c r="N8" s="117"/>
      <c r="O8" s="117"/>
      <c r="P8" s="118"/>
    </row>
    <row r="9" spans="1:16" ht="18.75" x14ac:dyDescent="0.25">
      <c r="A9" s="132"/>
      <c r="B9" s="178" t="s">
        <v>8</v>
      </c>
      <c r="C9" s="129"/>
      <c r="D9" s="177"/>
      <c r="E9" s="171"/>
      <c r="F9" s="137"/>
      <c r="G9" s="116"/>
      <c r="H9" s="116"/>
      <c r="I9" s="117"/>
      <c r="J9" s="117"/>
      <c r="K9" s="117"/>
      <c r="L9" s="117"/>
      <c r="M9" s="117"/>
      <c r="N9" s="117"/>
      <c r="O9" s="117"/>
      <c r="P9" s="118"/>
    </row>
    <row r="10" spans="1:16" ht="18.75" x14ac:dyDescent="0.25">
      <c r="A10" s="132"/>
      <c r="B10" s="178" t="s">
        <v>9</v>
      </c>
      <c r="C10" s="129"/>
      <c r="D10" s="177"/>
      <c r="E10" s="171"/>
      <c r="F10" s="137"/>
      <c r="G10" s="116"/>
      <c r="H10" s="116"/>
      <c r="I10" s="117"/>
      <c r="J10" s="117"/>
      <c r="K10" s="117"/>
      <c r="L10" s="117"/>
      <c r="M10" s="117"/>
      <c r="N10" s="117"/>
      <c r="O10" s="117"/>
      <c r="P10" s="118"/>
    </row>
    <row r="11" spans="1:16" ht="15.75" thickBot="1" x14ac:dyDescent="0.3">
      <c r="A11" s="134"/>
      <c r="B11" s="179" t="s">
        <v>10</v>
      </c>
      <c r="C11" s="168"/>
      <c r="D11" s="180"/>
      <c r="E11" s="172"/>
      <c r="F11" s="138"/>
      <c r="G11" s="119"/>
      <c r="H11" s="119"/>
      <c r="I11" s="120"/>
      <c r="J11" s="120"/>
      <c r="K11" s="120"/>
      <c r="L11" s="120"/>
      <c r="M11" s="120"/>
      <c r="N11" s="120"/>
      <c r="O11" s="120"/>
      <c r="P11" s="121"/>
    </row>
    <row r="12" spans="1:16" x14ac:dyDescent="0.25">
      <c r="A12" s="130"/>
      <c r="B12" s="184" t="s">
        <v>11</v>
      </c>
      <c r="C12" s="174"/>
      <c r="D12" s="175"/>
      <c r="E12" s="181"/>
      <c r="F12" s="122"/>
      <c r="G12" s="189"/>
      <c r="H12" s="116"/>
      <c r="I12" s="123">
        <f>675745+19700+1400+11646+19500+25000+46890+36000+6500+22000+47000</f>
        <v>911381</v>
      </c>
      <c r="J12" s="123">
        <f>680745+19700+1400+11646+19500+25000+46890+36000+6500+22000+47000</f>
        <v>916381</v>
      </c>
      <c r="K12" s="123">
        <f>685745+19700+1400+11646+19500+25000+46890+36000+6500+22000+47000</f>
        <v>921381</v>
      </c>
      <c r="L12" s="123">
        <f>690745+19700+1400+11646+19500+25000+46890+36000+6500+22000+47000</f>
        <v>926381</v>
      </c>
      <c r="M12" s="123">
        <f>695745+19700+1400+11646+19500+25000+46890+36000+6500+22000+47000</f>
        <v>931381</v>
      </c>
      <c r="N12" s="123">
        <f>700745+19700+1400+11646+19500+25000+46890+36000+6500+22000+47000</f>
        <v>936381</v>
      </c>
      <c r="O12" s="123">
        <f>705745+19700+1400+11646+19500+25000+46890+36000+6500+22000+47000</f>
        <v>941381</v>
      </c>
      <c r="P12" s="124">
        <f>710745+19700+1400+11646+19500+25000+46890+36000+6500+22000+47000</f>
        <v>946381</v>
      </c>
    </row>
    <row r="13" spans="1:16" x14ac:dyDescent="0.25">
      <c r="A13" s="131"/>
      <c r="B13" s="176" t="s">
        <v>12</v>
      </c>
      <c r="C13" s="129"/>
      <c r="D13" s="177"/>
      <c r="E13" s="182"/>
      <c r="F13" s="116"/>
      <c r="G13" s="116"/>
      <c r="H13" s="116"/>
      <c r="I13" s="117"/>
      <c r="J13" s="117"/>
      <c r="K13" s="117"/>
      <c r="L13" s="117"/>
      <c r="M13" s="117"/>
      <c r="N13" s="117"/>
      <c r="O13" s="117"/>
      <c r="P13" s="118"/>
    </row>
    <row r="14" spans="1:16" x14ac:dyDescent="0.25">
      <c r="A14" s="131"/>
      <c r="B14" s="176" t="s">
        <v>13</v>
      </c>
      <c r="C14" s="129"/>
      <c r="D14" s="177"/>
      <c r="E14" s="182"/>
      <c r="F14" s="116" t="s">
        <v>4</v>
      </c>
      <c r="G14" s="116" t="s">
        <v>4</v>
      </c>
      <c r="H14" s="116" t="s">
        <v>4</v>
      </c>
      <c r="I14" s="117" t="s">
        <v>4</v>
      </c>
      <c r="J14" s="117"/>
      <c r="K14" s="117" t="s">
        <v>4</v>
      </c>
      <c r="L14" s="117"/>
      <c r="M14" s="117"/>
      <c r="N14" s="117" t="s">
        <v>4</v>
      </c>
      <c r="O14" s="117"/>
      <c r="P14" s="118" t="s">
        <v>4</v>
      </c>
    </row>
    <row r="15" spans="1:16" x14ac:dyDescent="0.25">
      <c r="A15" s="131"/>
      <c r="B15" s="176" t="s">
        <v>14</v>
      </c>
      <c r="C15" s="129"/>
      <c r="D15" s="177"/>
      <c r="E15" s="182"/>
      <c r="F15" s="116"/>
      <c r="G15" s="116"/>
      <c r="H15" s="116"/>
      <c r="I15" s="117"/>
      <c r="J15" s="117"/>
      <c r="K15" s="117"/>
      <c r="L15" s="117"/>
      <c r="M15" s="117"/>
      <c r="N15" s="117"/>
      <c r="O15" s="117"/>
      <c r="P15" s="118"/>
    </row>
    <row r="16" spans="1:16" x14ac:dyDescent="0.25">
      <c r="A16" s="131"/>
      <c r="B16" s="176" t="s">
        <v>15</v>
      </c>
      <c r="C16" s="129"/>
      <c r="D16" s="177"/>
      <c r="E16" s="182"/>
      <c r="F16" s="116"/>
      <c r="G16" s="116"/>
      <c r="H16" s="116"/>
      <c r="I16" s="117"/>
      <c r="J16" s="117"/>
      <c r="K16" s="117"/>
      <c r="L16" s="117"/>
      <c r="M16" s="117"/>
      <c r="N16" s="117"/>
      <c r="O16" s="117"/>
      <c r="P16" s="118"/>
    </row>
    <row r="17" spans="1:16" ht="60" x14ac:dyDescent="0.25">
      <c r="A17" s="132" t="s">
        <v>16</v>
      </c>
      <c r="B17" s="185" t="s">
        <v>17</v>
      </c>
      <c r="C17" s="129"/>
      <c r="D17" s="177"/>
      <c r="E17" s="182"/>
      <c r="F17" s="116"/>
      <c r="G17" s="116"/>
      <c r="H17" s="116"/>
      <c r="I17" s="117"/>
      <c r="J17" s="117"/>
      <c r="K17" s="117"/>
      <c r="L17" s="117"/>
      <c r="M17" s="117"/>
      <c r="N17" s="117"/>
      <c r="O17" s="117"/>
      <c r="P17" s="118"/>
    </row>
    <row r="18" spans="1:16" x14ac:dyDescent="0.25">
      <c r="A18" s="131"/>
      <c r="B18" s="176" t="s">
        <v>18</v>
      </c>
      <c r="C18" s="129"/>
      <c r="D18" s="177"/>
      <c r="E18" s="182"/>
      <c r="F18" s="116"/>
      <c r="G18" s="116"/>
      <c r="H18" s="116"/>
      <c r="I18" s="117"/>
      <c r="J18" s="117"/>
      <c r="K18" s="117"/>
      <c r="L18" s="117"/>
      <c r="M18" s="117"/>
      <c r="N18" s="117"/>
      <c r="O18" s="117"/>
      <c r="P18" s="118"/>
    </row>
    <row r="19" spans="1:16" x14ac:dyDescent="0.25">
      <c r="A19" s="131"/>
      <c r="B19" s="176" t="s">
        <v>19</v>
      </c>
      <c r="C19" s="129"/>
      <c r="D19" s="177"/>
      <c r="E19" s="182"/>
      <c r="F19" s="116"/>
      <c r="G19" s="116"/>
      <c r="H19" s="116"/>
      <c r="I19" s="117"/>
      <c r="J19" s="117"/>
      <c r="K19" s="117"/>
      <c r="L19" s="117"/>
      <c r="M19" s="117"/>
      <c r="N19" s="117"/>
      <c r="O19" s="117"/>
      <c r="P19" s="118"/>
    </row>
    <row r="20" spans="1:16" ht="15.75" thickBot="1" x14ac:dyDescent="0.3">
      <c r="A20" s="133"/>
      <c r="B20" s="186" t="s">
        <v>20</v>
      </c>
      <c r="C20" s="168"/>
      <c r="D20" s="180"/>
      <c r="E20" s="183"/>
      <c r="F20" s="119"/>
      <c r="G20" s="119"/>
      <c r="H20" s="116"/>
      <c r="I20" s="120"/>
      <c r="J20" s="120"/>
      <c r="K20" s="120"/>
      <c r="L20" s="120"/>
      <c r="M20" s="120"/>
      <c r="N20" s="120"/>
      <c r="O20" s="120"/>
      <c r="P20" s="121"/>
    </row>
    <row r="21" spans="1:16" x14ac:dyDescent="0.25">
      <c r="A21" s="130"/>
      <c r="B21" s="184" t="s">
        <v>21</v>
      </c>
      <c r="C21" s="174"/>
      <c r="D21" s="175"/>
      <c r="E21" s="181"/>
      <c r="F21" s="122"/>
      <c r="G21" s="123">
        <f>637230+19700+1400+11646+19500+25000+46890+36000+6500+22000+47000</f>
        <v>872866</v>
      </c>
      <c r="H21" s="123">
        <f>653174+19700+1400+11646+19500+25000+46890+36000+6500+22000+47000</f>
        <v>888810</v>
      </c>
      <c r="I21" s="123">
        <f>656978+19700+1400+11646+19500+25000+46890+36000+6500+22000+47000</f>
        <v>892614</v>
      </c>
      <c r="J21" s="123">
        <f>661978+19700+1400+11646+19500+25000+46890+36000+6500+22000+47000</f>
        <v>897614</v>
      </c>
      <c r="K21" s="123">
        <f>666978+19700+1400+11646+19500+25000+46890+36000+6500+22000+47000</f>
        <v>902614</v>
      </c>
      <c r="L21" s="123">
        <f>671978+19700+1400+11646+19500+25000+46890+36000+6500+22000+47000</f>
        <v>907614</v>
      </c>
      <c r="M21" s="123">
        <f>676978+19700+1400+11646+19500+25000+46890+36000+6500+22000+47000</f>
        <v>912614</v>
      </c>
      <c r="N21" s="123">
        <f>681978+19700+1400+11646+19500+25000+46890+36000+6500+22000+47000</f>
        <v>917614</v>
      </c>
      <c r="O21" s="123">
        <f>686978+19700+1400+11646+19500+25000+46890+36000+6500+22000+47000</f>
        <v>922614</v>
      </c>
      <c r="P21" s="124">
        <f>691978+19700+1400+11646+19500+25000+46890+36000+6500+22000+47000</f>
        <v>927614</v>
      </c>
    </row>
    <row r="22" spans="1:16" x14ac:dyDescent="0.25">
      <c r="A22" s="131"/>
      <c r="B22" s="176" t="s">
        <v>22</v>
      </c>
      <c r="C22" s="129"/>
      <c r="D22" s="177"/>
      <c r="E22" s="182"/>
      <c r="F22" s="116"/>
      <c r="G22" s="117"/>
      <c r="H22" s="117"/>
      <c r="I22" s="117"/>
      <c r="J22" s="117"/>
      <c r="K22" s="117"/>
      <c r="L22" s="117"/>
      <c r="M22" s="117"/>
      <c r="N22" s="117"/>
      <c r="O22" s="117"/>
      <c r="P22" s="118"/>
    </row>
    <row r="23" spans="1:16" x14ac:dyDescent="0.25">
      <c r="A23" s="131"/>
      <c r="B23" s="176" t="s">
        <v>23</v>
      </c>
      <c r="C23" s="129"/>
      <c r="D23" s="177"/>
      <c r="E23" s="182"/>
      <c r="F23" s="116" t="s">
        <v>4</v>
      </c>
      <c r="G23" s="117" t="s">
        <v>4</v>
      </c>
      <c r="H23" s="117" t="s">
        <v>4</v>
      </c>
      <c r="I23" s="117" t="s">
        <v>4</v>
      </c>
      <c r="J23" s="117"/>
      <c r="K23" s="117" t="s">
        <v>4</v>
      </c>
      <c r="L23" s="117"/>
      <c r="M23" s="117"/>
      <c r="N23" s="117" t="s">
        <v>4</v>
      </c>
      <c r="O23" s="117"/>
      <c r="P23" s="118" t="s">
        <v>4</v>
      </c>
    </row>
    <row r="24" spans="1:16" x14ac:dyDescent="0.25">
      <c r="A24" s="131"/>
      <c r="B24" s="176" t="s">
        <v>24</v>
      </c>
      <c r="C24" s="129"/>
      <c r="D24" s="177"/>
      <c r="E24" s="182"/>
      <c r="F24" s="116"/>
      <c r="G24" s="117"/>
      <c r="H24" s="117"/>
      <c r="I24" s="117"/>
      <c r="J24" s="117"/>
      <c r="K24" s="117"/>
      <c r="L24" s="117"/>
      <c r="M24" s="117"/>
      <c r="N24" s="117"/>
      <c r="O24" s="117"/>
      <c r="P24" s="118"/>
    </row>
    <row r="25" spans="1:16" ht="18.75" x14ac:dyDescent="0.25">
      <c r="A25" s="132" t="s">
        <v>25</v>
      </c>
      <c r="B25" s="176" t="s">
        <v>26</v>
      </c>
      <c r="C25" s="129"/>
      <c r="D25" s="177"/>
      <c r="E25" s="182"/>
      <c r="F25" s="116"/>
      <c r="G25" s="117"/>
      <c r="H25" s="117"/>
      <c r="I25" s="117"/>
      <c r="J25" s="117"/>
      <c r="K25" s="117"/>
      <c r="L25" s="117"/>
      <c r="M25" s="117"/>
      <c r="N25" s="117"/>
      <c r="O25" s="117"/>
      <c r="P25" s="118"/>
    </row>
    <row r="26" spans="1:16" x14ac:dyDescent="0.25">
      <c r="A26" s="131"/>
      <c r="B26" s="176" t="s">
        <v>27</v>
      </c>
      <c r="C26" s="129"/>
      <c r="D26" s="177"/>
      <c r="E26" s="182"/>
      <c r="F26" s="116"/>
      <c r="G26" s="117"/>
      <c r="H26" s="117"/>
      <c r="I26" s="117"/>
      <c r="J26" s="117"/>
      <c r="K26" s="117"/>
      <c r="L26" s="117"/>
      <c r="M26" s="117"/>
      <c r="N26" s="117"/>
      <c r="O26" s="117"/>
      <c r="P26" s="118"/>
    </row>
    <row r="27" spans="1:16" x14ac:dyDescent="0.25">
      <c r="A27" s="131"/>
      <c r="B27" s="176" t="s">
        <v>28</v>
      </c>
      <c r="C27" s="129"/>
      <c r="D27" s="177"/>
      <c r="E27" s="182"/>
      <c r="F27" s="116"/>
      <c r="G27" s="117"/>
      <c r="H27" s="117"/>
      <c r="I27" s="117"/>
      <c r="J27" s="117"/>
      <c r="K27" s="117"/>
      <c r="L27" s="117"/>
      <c r="M27" s="117"/>
      <c r="N27" s="117"/>
      <c r="O27" s="117"/>
      <c r="P27" s="118"/>
    </row>
    <row r="28" spans="1:16" ht="15.75" thickBot="1" x14ac:dyDescent="0.3">
      <c r="A28" s="133"/>
      <c r="B28" s="186" t="s">
        <v>29</v>
      </c>
      <c r="C28" s="168"/>
      <c r="D28" s="180"/>
      <c r="E28" s="183"/>
      <c r="F28" s="119"/>
      <c r="G28" s="120"/>
      <c r="H28" s="120"/>
      <c r="I28" s="120"/>
      <c r="J28" s="120"/>
      <c r="K28" s="120"/>
      <c r="L28" s="120"/>
      <c r="M28" s="120"/>
      <c r="N28" s="120"/>
      <c r="O28" s="120"/>
      <c r="P28" s="121"/>
    </row>
    <row r="29" spans="1:16" x14ac:dyDescent="0.25">
      <c r="A29" s="130"/>
      <c r="B29" s="184" t="s">
        <v>30</v>
      </c>
      <c r="C29" s="174"/>
      <c r="D29" s="175"/>
      <c r="E29" s="187"/>
      <c r="F29" s="140"/>
      <c r="G29" s="107"/>
      <c r="H29" s="189"/>
      <c r="I29" s="114">
        <f>584551+19700+1400+11646+19500+25000+46890+36000+6500+22000+47000</f>
        <v>820187</v>
      </c>
      <c r="J29" s="114">
        <f>589551+19700+1400+11646+19500+25000+46890+36000+6500+22000+47000</f>
        <v>825187</v>
      </c>
      <c r="K29" s="114">
        <f>594551+19700+1400+11646+19500+25000+46890+36000+6500+22000+47000</f>
        <v>830187</v>
      </c>
      <c r="L29" s="114">
        <f>599551+19700+1400+11646+19500+25000+46890+36000+6500+22000+47000</f>
        <v>835187</v>
      </c>
      <c r="M29" s="114">
        <f>604551+19700+1400+11646+19500+25000+46890+36000+6500+22000+47000</f>
        <v>840187</v>
      </c>
      <c r="N29" s="114">
        <f>609551+19700+1400+11646+19500+25000+46890+36000+6500+22000+47000</f>
        <v>845187</v>
      </c>
      <c r="O29" s="239">
        <f>803187+47000</f>
        <v>850187</v>
      </c>
      <c r="P29" s="240">
        <f>808187+47000</f>
        <v>855187</v>
      </c>
    </row>
    <row r="30" spans="1:16" ht="19.5" thickBot="1" x14ac:dyDescent="0.3">
      <c r="A30" s="135" t="s">
        <v>31</v>
      </c>
      <c r="B30" s="186" t="s">
        <v>32</v>
      </c>
      <c r="C30" s="168"/>
      <c r="D30" s="180"/>
      <c r="E30" s="188"/>
      <c r="F30" s="139"/>
      <c r="G30" s="119"/>
      <c r="H30" s="119"/>
      <c r="I30" s="120"/>
      <c r="J30" s="120"/>
      <c r="K30" s="120"/>
      <c r="L30" s="120"/>
      <c r="M30" s="120"/>
      <c r="N30" s="120"/>
      <c r="O30" s="120"/>
      <c r="P30" s="121"/>
    </row>
    <row r="31" spans="1:16" x14ac:dyDescent="0.25">
      <c r="F31" s="141"/>
    </row>
    <row r="32" spans="1:16" x14ac:dyDescent="0.25">
      <c r="B32" s="125" t="s">
        <v>33</v>
      </c>
      <c r="C32" s="125"/>
      <c r="D32" s="125"/>
      <c r="E32" s="125"/>
      <c r="F32" s="125"/>
      <c r="G32" s="125"/>
      <c r="H32" s="126"/>
      <c r="I32" s="126"/>
      <c r="J32" s="126"/>
      <c r="K32" s="126"/>
      <c r="L32" s="126"/>
    </row>
    <row r="33" spans="1:12" x14ac:dyDescent="0.25">
      <c r="B33" s="125" t="s">
        <v>34</v>
      </c>
      <c r="C33" s="125"/>
      <c r="D33" s="125"/>
      <c r="E33" s="125"/>
      <c r="F33" s="125"/>
      <c r="G33" s="125"/>
      <c r="H33" s="127"/>
      <c r="I33" s="127"/>
      <c r="J33" s="127"/>
      <c r="K33" s="127"/>
      <c r="L33" s="127"/>
    </row>
    <row r="34" spans="1:12" x14ac:dyDescent="0.25">
      <c r="B34" s="125" t="s">
        <v>35</v>
      </c>
      <c r="C34" s="125"/>
      <c r="D34" s="125"/>
      <c r="E34" s="125"/>
      <c r="F34" s="125"/>
      <c r="G34" s="125"/>
      <c r="H34" s="127"/>
      <c r="I34" s="127"/>
      <c r="J34" s="127"/>
      <c r="K34" s="127"/>
      <c r="L34" s="127"/>
    </row>
    <row r="35" spans="1:12" x14ac:dyDescent="0.25">
      <c r="B35" s="125" t="s">
        <v>36</v>
      </c>
      <c r="C35" s="125"/>
      <c r="D35" s="125"/>
      <c r="E35" s="125"/>
      <c r="F35" s="125"/>
      <c r="G35" s="125"/>
      <c r="H35" s="127"/>
      <c r="I35" s="127"/>
      <c r="J35" s="127"/>
      <c r="K35" s="127"/>
      <c r="L35" s="127"/>
    </row>
    <row r="36" spans="1:12" x14ac:dyDescent="0.25">
      <c r="B36" s="125" t="s">
        <v>37</v>
      </c>
      <c r="C36" s="125"/>
      <c r="D36" s="125"/>
      <c r="E36" s="125"/>
      <c r="F36" s="125"/>
      <c r="G36" s="125"/>
      <c r="H36" s="127"/>
      <c r="I36" s="127"/>
      <c r="J36" s="127"/>
      <c r="K36" s="127"/>
      <c r="L36" s="127"/>
    </row>
    <row r="37" spans="1:12" x14ac:dyDescent="0.25">
      <c r="B37" s="125" t="s">
        <v>38</v>
      </c>
      <c r="C37" s="125"/>
      <c r="D37" s="125"/>
      <c r="E37" s="125"/>
      <c r="F37" s="125"/>
      <c r="G37" s="125"/>
      <c r="H37" s="127"/>
      <c r="I37" s="127"/>
      <c r="J37" s="127"/>
      <c r="K37" s="127"/>
      <c r="L37" s="127"/>
    </row>
    <row r="38" spans="1:12" x14ac:dyDescent="0.25">
      <c r="B38" s="125" t="s">
        <v>39</v>
      </c>
      <c r="C38" s="125"/>
      <c r="D38" s="125"/>
      <c r="E38" s="125"/>
      <c r="F38" s="125"/>
      <c r="G38" s="125"/>
      <c r="H38" s="126"/>
      <c r="I38" s="126"/>
      <c r="J38" s="126"/>
      <c r="K38" s="126"/>
      <c r="L38" s="126"/>
    </row>
    <row r="39" spans="1:12" x14ac:dyDescent="0.25">
      <c r="B39" s="125" t="s">
        <v>40</v>
      </c>
      <c r="C39" s="125"/>
      <c r="D39" s="125"/>
      <c r="E39" s="125"/>
      <c r="F39" s="125"/>
      <c r="G39" s="125"/>
      <c r="H39" s="126"/>
      <c r="I39" s="126"/>
      <c r="J39" s="126"/>
      <c r="K39" s="126"/>
      <c r="L39" s="126"/>
    </row>
    <row r="40" spans="1:12" x14ac:dyDescent="0.25">
      <c r="B40" s="125" t="s">
        <v>41</v>
      </c>
      <c r="C40" s="125"/>
      <c r="D40" s="125"/>
      <c r="E40" s="125"/>
      <c r="F40" s="125"/>
      <c r="G40" s="125"/>
      <c r="H40" s="126"/>
      <c r="I40" s="126"/>
      <c r="J40" s="126"/>
      <c r="K40" s="126"/>
      <c r="L40" s="126"/>
    </row>
    <row r="41" spans="1:12" x14ac:dyDescent="0.25">
      <c r="B41" s="125" t="s">
        <v>42</v>
      </c>
      <c r="C41" s="125"/>
      <c r="D41" s="125"/>
      <c r="E41" s="125"/>
      <c r="F41" s="125"/>
      <c r="G41" s="125"/>
      <c r="H41" s="126"/>
      <c r="I41" s="126"/>
      <c r="J41" s="126"/>
      <c r="K41" s="126"/>
      <c r="L41" s="126"/>
    </row>
    <row r="42" spans="1:12" x14ac:dyDescent="0.25">
      <c r="C42" s="125"/>
      <c r="D42" s="125"/>
      <c r="E42" s="125"/>
      <c r="F42" s="125"/>
      <c r="G42" s="125"/>
      <c r="H42" s="127"/>
      <c r="I42" s="127"/>
      <c r="J42" s="127"/>
      <c r="K42" s="127"/>
      <c r="L42" s="127"/>
    </row>
    <row r="43" spans="1:12" x14ac:dyDescent="0.25">
      <c r="B43" s="125" t="s">
        <v>43</v>
      </c>
      <c r="C43" s="125"/>
      <c r="D43" s="125"/>
      <c r="E43" s="125"/>
      <c r="F43" s="125"/>
      <c r="G43" s="125"/>
      <c r="H43" s="127"/>
      <c r="I43" s="127"/>
      <c r="J43" s="127"/>
      <c r="K43" s="127"/>
      <c r="L43" s="127"/>
    </row>
    <row r="44" spans="1:12" ht="34.5" customHeight="1" x14ac:dyDescent="0.25">
      <c r="B44" s="251" t="s">
        <v>44</v>
      </c>
      <c r="C44" s="252"/>
      <c r="D44" s="252"/>
      <c r="E44" s="252"/>
      <c r="F44" s="252"/>
      <c r="G44" s="252"/>
      <c r="H44" s="252"/>
      <c r="I44" s="252"/>
      <c r="J44" s="252"/>
      <c r="K44" s="252"/>
      <c r="L44" s="253"/>
    </row>
    <row r="45" spans="1:12" ht="15.75" x14ac:dyDescent="0.25">
      <c r="B45" s="246" t="s">
        <v>104</v>
      </c>
    </row>
    <row r="46" spans="1:12" ht="36" customHeight="1" x14ac:dyDescent="0.25">
      <c r="A46" s="247" t="s">
        <v>105</v>
      </c>
      <c r="B46" s="254" t="s">
        <v>106</v>
      </c>
      <c r="C46" s="254"/>
      <c r="D46" s="254"/>
      <c r="E46" s="254"/>
      <c r="F46" s="254"/>
      <c r="G46" s="254"/>
      <c r="H46" s="254"/>
      <c r="I46" s="254"/>
      <c r="J46" s="254"/>
      <c r="K46" s="254"/>
      <c r="L46" s="254"/>
    </row>
    <row r="47" spans="1:12" x14ac:dyDescent="0.25">
      <c r="B47" t="s">
        <v>45</v>
      </c>
    </row>
    <row r="48" spans="1:12" x14ac:dyDescent="0.25">
      <c r="B48" t="s">
        <v>46</v>
      </c>
    </row>
    <row r="49" spans="2:2" x14ac:dyDescent="0.25">
      <c r="B49" t="s">
        <v>47</v>
      </c>
    </row>
    <row r="50" spans="2:2" x14ac:dyDescent="0.25">
      <c r="B50" t="s">
        <v>48</v>
      </c>
    </row>
    <row r="52" spans="2:2" x14ac:dyDescent="0.25">
      <c r="B52" t="s">
        <v>49</v>
      </c>
    </row>
  </sheetData>
  <mergeCells count="2">
    <mergeCell ref="B44:L44"/>
    <mergeCell ref="B46:L46"/>
  </mergeCells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zoomScale="90" zoomScaleNormal="90" zoomScaleSheetLayoutView="70" workbookViewId="0">
      <selection activeCell="F18" sqref="F18"/>
    </sheetView>
  </sheetViews>
  <sheetFormatPr baseColWidth="10" defaultColWidth="11.42578125" defaultRowHeight="15" x14ac:dyDescent="0.25"/>
  <cols>
    <col min="1" max="1" width="5.42578125" customWidth="1"/>
    <col min="2" max="2" width="22" customWidth="1"/>
    <col min="3" max="3" width="17" customWidth="1"/>
    <col min="4" max="12" width="13.5703125" customWidth="1"/>
    <col min="13" max="13" width="12.5703125" customWidth="1"/>
    <col min="14" max="14" width="11.85546875" customWidth="1"/>
    <col min="15" max="16" width="15.5703125" bestFit="1" customWidth="1"/>
    <col min="257" max="257" width="5.42578125" customWidth="1"/>
    <col min="258" max="258" width="22" customWidth="1"/>
    <col min="259" max="259" width="17" customWidth="1"/>
    <col min="260" max="260" width="13.5703125" customWidth="1"/>
    <col min="261" max="261" width="15.85546875" customWidth="1"/>
    <col min="262" max="268" width="13.5703125" customWidth="1"/>
    <col min="269" max="269" width="12.5703125" customWidth="1"/>
    <col min="270" max="270" width="11.85546875" customWidth="1"/>
    <col min="513" max="513" width="5.42578125" customWidth="1"/>
    <col min="514" max="514" width="22" customWidth="1"/>
    <col min="515" max="515" width="17" customWidth="1"/>
    <col min="516" max="516" width="13.5703125" customWidth="1"/>
    <col min="517" max="517" width="15.85546875" customWidth="1"/>
    <col min="518" max="524" width="13.5703125" customWidth="1"/>
    <col min="525" max="525" width="12.5703125" customWidth="1"/>
    <col min="526" max="526" width="11.85546875" customWidth="1"/>
    <col min="769" max="769" width="5.42578125" customWidth="1"/>
    <col min="770" max="770" width="22" customWidth="1"/>
    <col min="771" max="771" width="17" customWidth="1"/>
    <col min="772" max="772" width="13.5703125" customWidth="1"/>
    <col min="773" max="773" width="15.85546875" customWidth="1"/>
    <col min="774" max="780" width="13.5703125" customWidth="1"/>
    <col min="781" max="781" width="12.5703125" customWidth="1"/>
    <col min="782" max="782" width="11.85546875" customWidth="1"/>
    <col min="1025" max="1025" width="5.42578125" customWidth="1"/>
    <col min="1026" max="1026" width="22" customWidth="1"/>
    <col min="1027" max="1027" width="17" customWidth="1"/>
    <col min="1028" max="1028" width="13.5703125" customWidth="1"/>
    <col min="1029" max="1029" width="15.85546875" customWidth="1"/>
    <col min="1030" max="1036" width="13.5703125" customWidth="1"/>
    <col min="1037" max="1037" width="12.5703125" customWidth="1"/>
    <col min="1038" max="1038" width="11.85546875" customWidth="1"/>
    <col min="1281" max="1281" width="5.42578125" customWidth="1"/>
    <col min="1282" max="1282" width="22" customWidth="1"/>
    <col min="1283" max="1283" width="17" customWidth="1"/>
    <col min="1284" max="1284" width="13.5703125" customWidth="1"/>
    <col min="1285" max="1285" width="15.85546875" customWidth="1"/>
    <col min="1286" max="1292" width="13.5703125" customWidth="1"/>
    <col min="1293" max="1293" width="12.5703125" customWidth="1"/>
    <col min="1294" max="1294" width="11.85546875" customWidth="1"/>
    <col min="1537" max="1537" width="5.42578125" customWidth="1"/>
    <col min="1538" max="1538" width="22" customWidth="1"/>
    <col min="1539" max="1539" width="17" customWidth="1"/>
    <col min="1540" max="1540" width="13.5703125" customWidth="1"/>
    <col min="1541" max="1541" width="15.85546875" customWidth="1"/>
    <col min="1542" max="1548" width="13.5703125" customWidth="1"/>
    <col min="1549" max="1549" width="12.5703125" customWidth="1"/>
    <col min="1550" max="1550" width="11.85546875" customWidth="1"/>
    <col min="1793" max="1793" width="5.42578125" customWidth="1"/>
    <col min="1794" max="1794" width="22" customWidth="1"/>
    <col min="1795" max="1795" width="17" customWidth="1"/>
    <col min="1796" max="1796" width="13.5703125" customWidth="1"/>
    <col min="1797" max="1797" width="15.85546875" customWidth="1"/>
    <col min="1798" max="1804" width="13.5703125" customWidth="1"/>
    <col min="1805" max="1805" width="12.5703125" customWidth="1"/>
    <col min="1806" max="1806" width="11.85546875" customWidth="1"/>
    <col min="2049" max="2049" width="5.42578125" customWidth="1"/>
    <col min="2050" max="2050" width="22" customWidth="1"/>
    <col min="2051" max="2051" width="17" customWidth="1"/>
    <col min="2052" max="2052" width="13.5703125" customWidth="1"/>
    <col min="2053" max="2053" width="15.85546875" customWidth="1"/>
    <col min="2054" max="2060" width="13.5703125" customWidth="1"/>
    <col min="2061" max="2061" width="12.5703125" customWidth="1"/>
    <col min="2062" max="2062" width="11.85546875" customWidth="1"/>
    <col min="2305" max="2305" width="5.42578125" customWidth="1"/>
    <col min="2306" max="2306" width="22" customWidth="1"/>
    <col min="2307" max="2307" width="17" customWidth="1"/>
    <col min="2308" max="2308" width="13.5703125" customWidth="1"/>
    <col min="2309" max="2309" width="15.85546875" customWidth="1"/>
    <col min="2310" max="2316" width="13.5703125" customWidth="1"/>
    <col min="2317" max="2317" width="12.5703125" customWidth="1"/>
    <col min="2318" max="2318" width="11.85546875" customWidth="1"/>
    <col min="2561" max="2561" width="5.42578125" customWidth="1"/>
    <col min="2562" max="2562" width="22" customWidth="1"/>
    <col min="2563" max="2563" width="17" customWidth="1"/>
    <col min="2564" max="2564" width="13.5703125" customWidth="1"/>
    <col min="2565" max="2565" width="15.85546875" customWidth="1"/>
    <col min="2566" max="2572" width="13.5703125" customWidth="1"/>
    <col min="2573" max="2573" width="12.5703125" customWidth="1"/>
    <col min="2574" max="2574" width="11.85546875" customWidth="1"/>
    <col min="2817" max="2817" width="5.42578125" customWidth="1"/>
    <col min="2818" max="2818" width="22" customWidth="1"/>
    <col min="2819" max="2819" width="17" customWidth="1"/>
    <col min="2820" max="2820" width="13.5703125" customWidth="1"/>
    <col min="2821" max="2821" width="15.85546875" customWidth="1"/>
    <col min="2822" max="2828" width="13.5703125" customWidth="1"/>
    <col min="2829" max="2829" width="12.5703125" customWidth="1"/>
    <col min="2830" max="2830" width="11.85546875" customWidth="1"/>
    <col min="3073" max="3073" width="5.42578125" customWidth="1"/>
    <col min="3074" max="3074" width="22" customWidth="1"/>
    <col min="3075" max="3075" width="17" customWidth="1"/>
    <col min="3076" max="3076" width="13.5703125" customWidth="1"/>
    <col min="3077" max="3077" width="15.85546875" customWidth="1"/>
    <col min="3078" max="3084" width="13.5703125" customWidth="1"/>
    <col min="3085" max="3085" width="12.5703125" customWidth="1"/>
    <col min="3086" max="3086" width="11.85546875" customWidth="1"/>
    <col min="3329" max="3329" width="5.42578125" customWidth="1"/>
    <col min="3330" max="3330" width="22" customWidth="1"/>
    <col min="3331" max="3331" width="17" customWidth="1"/>
    <col min="3332" max="3332" width="13.5703125" customWidth="1"/>
    <col min="3333" max="3333" width="15.85546875" customWidth="1"/>
    <col min="3334" max="3340" width="13.5703125" customWidth="1"/>
    <col min="3341" max="3341" width="12.5703125" customWidth="1"/>
    <col min="3342" max="3342" width="11.85546875" customWidth="1"/>
    <col min="3585" max="3585" width="5.42578125" customWidth="1"/>
    <col min="3586" max="3586" width="22" customWidth="1"/>
    <col min="3587" max="3587" width="17" customWidth="1"/>
    <col min="3588" max="3588" width="13.5703125" customWidth="1"/>
    <col min="3589" max="3589" width="15.85546875" customWidth="1"/>
    <col min="3590" max="3596" width="13.5703125" customWidth="1"/>
    <col min="3597" max="3597" width="12.5703125" customWidth="1"/>
    <col min="3598" max="3598" width="11.85546875" customWidth="1"/>
    <col min="3841" max="3841" width="5.42578125" customWidth="1"/>
    <col min="3842" max="3842" width="22" customWidth="1"/>
    <col min="3843" max="3843" width="17" customWidth="1"/>
    <col min="3844" max="3844" width="13.5703125" customWidth="1"/>
    <col min="3845" max="3845" width="15.85546875" customWidth="1"/>
    <col min="3846" max="3852" width="13.5703125" customWidth="1"/>
    <col min="3853" max="3853" width="12.5703125" customWidth="1"/>
    <col min="3854" max="3854" width="11.85546875" customWidth="1"/>
    <col min="4097" max="4097" width="5.42578125" customWidth="1"/>
    <col min="4098" max="4098" width="22" customWidth="1"/>
    <col min="4099" max="4099" width="17" customWidth="1"/>
    <col min="4100" max="4100" width="13.5703125" customWidth="1"/>
    <col min="4101" max="4101" width="15.85546875" customWidth="1"/>
    <col min="4102" max="4108" width="13.5703125" customWidth="1"/>
    <col min="4109" max="4109" width="12.5703125" customWidth="1"/>
    <col min="4110" max="4110" width="11.85546875" customWidth="1"/>
    <col min="4353" max="4353" width="5.42578125" customWidth="1"/>
    <col min="4354" max="4354" width="22" customWidth="1"/>
    <col min="4355" max="4355" width="17" customWidth="1"/>
    <col min="4356" max="4356" width="13.5703125" customWidth="1"/>
    <col min="4357" max="4357" width="15.85546875" customWidth="1"/>
    <col min="4358" max="4364" width="13.5703125" customWidth="1"/>
    <col min="4365" max="4365" width="12.5703125" customWidth="1"/>
    <col min="4366" max="4366" width="11.85546875" customWidth="1"/>
    <col min="4609" max="4609" width="5.42578125" customWidth="1"/>
    <col min="4610" max="4610" width="22" customWidth="1"/>
    <col min="4611" max="4611" width="17" customWidth="1"/>
    <col min="4612" max="4612" width="13.5703125" customWidth="1"/>
    <col min="4613" max="4613" width="15.85546875" customWidth="1"/>
    <col min="4614" max="4620" width="13.5703125" customWidth="1"/>
    <col min="4621" max="4621" width="12.5703125" customWidth="1"/>
    <col min="4622" max="4622" width="11.85546875" customWidth="1"/>
    <col min="4865" max="4865" width="5.42578125" customWidth="1"/>
    <col min="4866" max="4866" width="22" customWidth="1"/>
    <col min="4867" max="4867" width="17" customWidth="1"/>
    <col min="4868" max="4868" width="13.5703125" customWidth="1"/>
    <col min="4869" max="4869" width="15.85546875" customWidth="1"/>
    <col min="4870" max="4876" width="13.5703125" customWidth="1"/>
    <col min="4877" max="4877" width="12.5703125" customWidth="1"/>
    <col min="4878" max="4878" width="11.85546875" customWidth="1"/>
    <col min="5121" max="5121" width="5.42578125" customWidth="1"/>
    <col min="5122" max="5122" width="22" customWidth="1"/>
    <col min="5123" max="5123" width="17" customWidth="1"/>
    <col min="5124" max="5124" width="13.5703125" customWidth="1"/>
    <col min="5125" max="5125" width="15.85546875" customWidth="1"/>
    <col min="5126" max="5132" width="13.5703125" customWidth="1"/>
    <col min="5133" max="5133" width="12.5703125" customWidth="1"/>
    <col min="5134" max="5134" width="11.85546875" customWidth="1"/>
    <col min="5377" max="5377" width="5.42578125" customWidth="1"/>
    <col min="5378" max="5378" width="22" customWidth="1"/>
    <col min="5379" max="5379" width="17" customWidth="1"/>
    <col min="5380" max="5380" width="13.5703125" customWidth="1"/>
    <col min="5381" max="5381" width="15.85546875" customWidth="1"/>
    <col min="5382" max="5388" width="13.5703125" customWidth="1"/>
    <col min="5389" max="5389" width="12.5703125" customWidth="1"/>
    <col min="5390" max="5390" width="11.85546875" customWidth="1"/>
    <col min="5633" max="5633" width="5.42578125" customWidth="1"/>
    <col min="5634" max="5634" width="22" customWidth="1"/>
    <col min="5635" max="5635" width="17" customWidth="1"/>
    <col min="5636" max="5636" width="13.5703125" customWidth="1"/>
    <col min="5637" max="5637" width="15.85546875" customWidth="1"/>
    <col min="5638" max="5644" width="13.5703125" customWidth="1"/>
    <col min="5645" max="5645" width="12.5703125" customWidth="1"/>
    <col min="5646" max="5646" width="11.85546875" customWidth="1"/>
    <col min="5889" max="5889" width="5.42578125" customWidth="1"/>
    <col min="5890" max="5890" width="22" customWidth="1"/>
    <col min="5891" max="5891" width="17" customWidth="1"/>
    <col min="5892" max="5892" width="13.5703125" customWidth="1"/>
    <col min="5893" max="5893" width="15.85546875" customWidth="1"/>
    <col min="5894" max="5900" width="13.5703125" customWidth="1"/>
    <col min="5901" max="5901" width="12.5703125" customWidth="1"/>
    <col min="5902" max="5902" width="11.85546875" customWidth="1"/>
    <col min="6145" max="6145" width="5.42578125" customWidth="1"/>
    <col min="6146" max="6146" width="22" customWidth="1"/>
    <col min="6147" max="6147" width="17" customWidth="1"/>
    <col min="6148" max="6148" width="13.5703125" customWidth="1"/>
    <col min="6149" max="6149" width="15.85546875" customWidth="1"/>
    <col min="6150" max="6156" width="13.5703125" customWidth="1"/>
    <col min="6157" max="6157" width="12.5703125" customWidth="1"/>
    <col min="6158" max="6158" width="11.85546875" customWidth="1"/>
    <col min="6401" max="6401" width="5.42578125" customWidth="1"/>
    <col min="6402" max="6402" width="22" customWidth="1"/>
    <col min="6403" max="6403" width="17" customWidth="1"/>
    <col min="6404" max="6404" width="13.5703125" customWidth="1"/>
    <col min="6405" max="6405" width="15.85546875" customWidth="1"/>
    <col min="6406" max="6412" width="13.5703125" customWidth="1"/>
    <col min="6413" max="6413" width="12.5703125" customWidth="1"/>
    <col min="6414" max="6414" width="11.85546875" customWidth="1"/>
    <col min="6657" max="6657" width="5.42578125" customWidth="1"/>
    <col min="6658" max="6658" width="22" customWidth="1"/>
    <col min="6659" max="6659" width="17" customWidth="1"/>
    <col min="6660" max="6660" width="13.5703125" customWidth="1"/>
    <col min="6661" max="6661" width="15.85546875" customWidth="1"/>
    <col min="6662" max="6668" width="13.5703125" customWidth="1"/>
    <col min="6669" max="6669" width="12.5703125" customWidth="1"/>
    <col min="6670" max="6670" width="11.85546875" customWidth="1"/>
    <col min="6913" max="6913" width="5.42578125" customWidth="1"/>
    <col min="6914" max="6914" width="22" customWidth="1"/>
    <col min="6915" max="6915" width="17" customWidth="1"/>
    <col min="6916" max="6916" width="13.5703125" customWidth="1"/>
    <col min="6917" max="6917" width="15.85546875" customWidth="1"/>
    <col min="6918" max="6924" width="13.5703125" customWidth="1"/>
    <col min="6925" max="6925" width="12.5703125" customWidth="1"/>
    <col min="6926" max="6926" width="11.85546875" customWidth="1"/>
    <col min="7169" max="7169" width="5.42578125" customWidth="1"/>
    <col min="7170" max="7170" width="22" customWidth="1"/>
    <col min="7171" max="7171" width="17" customWidth="1"/>
    <col min="7172" max="7172" width="13.5703125" customWidth="1"/>
    <col min="7173" max="7173" width="15.85546875" customWidth="1"/>
    <col min="7174" max="7180" width="13.5703125" customWidth="1"/>
    <col min="7181" max="7181" width="12.5703125" customWidth="1"/>
    <col min="7182" max="7182" width="11.85546875" customWidth="1"/>
    <col min="7425" max="7425" width="5.42578125" customWidth="1"/>
    <col min="7426" max="7426" width="22" customWidth="1"/>
    <col min="7427" max="7427" width="17" customWidth="1"/>
    <col min="7428" max="7428" width="13.5703125" customWidth="1"/>
    <col min="7429" max="7429" width="15.85546875" customWidth="1"/>
    <col min="7430" max="7436" width="13.5703125" customWidth="1"/>
    <col min="7437" max="7437" width="12.5703125" customWidth="1"/>
    <col min="7438" max="7438" width="11.85546875" customWidth="1"/>
    <col min="7681" max="7681" width="5.42578125" customWidth="1"/>
    <col min="7682" max="7682" width="22" customWidth="1"/>
    <col min="7683" max="7683" width="17" customWidth="1"/>
    <col min="7684" max="7684" width="13.5703125" customWidth="1"/>
    <col min="7685" max="7685" width="15.85546875" customWidth="1"/>
    <col min="7686" max="7692" width="13.5703125" customWidth="1"/>
    <col min="7693" max="7693" width="12.5703125" customWidth="1"/>
    <col min="7694" max="7694" width="11.85546875" customWidth="1"/>
    <col min="7937" max="7937" width="5.42578125" customWidth="1"/>
    <col min="7938" max="7938" width="22" customWidth="1"/>
    <col min="7939" max="7939" width="17" customWidth="1"/>
    <col min="7940" max="7940" width="13.5703125" customWidth="1"/>
    <col min="7941" max="7941" width="15.85546875" customWidth="1"/>
    <col min="7942" max="7948" width="13.5703125" customWidth="1"/>
    <col min="7949" max="7949" width="12.5703125" customWidth="1"/>
    <col min="7950" max="7950" width="11.85546875" customWidth="1"/>
    <col min="8193" max="8193" width="5.42578125" customWidth="1"/>
    <col min="8194" max="8194" width="22" customWidth="1"/>
    <col min="8195" max="8195" width="17" customWidth="1"/>
    <col min="8196" max="8196" width="13.5703125" customWidth="1"/>
    <col min="8197" max="8197" width="15.85546875" customWidth="1"/>
    <col min="8198" max="8204" width="13.5703125" customWidth="1"/>
    <col min="8205" max="8205" width="12.5703125" customWidth="1"/>
    <col min="8206" max="8206" width="11.85546875" customWidth="1"/>
    <col min="8449" max="8449" width="5.42578125" customWidth="1"/>
    <col min="8450" max="8450" width="22" customWidth="1"/>
    <col min="8451" max="8451" width="17" customWidth="1"/>
    <col min="8452" max="8452" width="13.5703125" customWidth="1"/>
    <col min="8453" max="8453" width="15.85546875" customWidth="1"/>
    <col min="8454" max="8460" width="13.5703125" customWidth="1"/>
    <col min="8461" max="8461" width="12.5703125" customWidth="1"/>
    <col min="8462" max="8462" width="11.85546875" customWidth="1"/>
    <col min="8705" max="8705" width="5.42578125" customWidth="1"/>
    <col min="8706" max="8706" width="22" customWidth="1"/>
    <col min="8707" max="8707" width="17" customWidth="1"/>
    <col min="8708" max="8708" width="13.5703125" customWidth="1"/>
    <col min="8709" max="8709" width="15.85546875" customWidth="1"/>
    <col min="8710" max="8716" width="13.5703125" customWidth="1"/>
    <col min="8717" max="8717" width="12.5703125" customWidth="1"/>
    <col min="8718" max="8718" width="11.85546875" customWidth="1"/>
    <col min="8961" max="8961" width="5.42578125" customWidth="1"/>
    <col min="8962" max="8962" width="22" customWidth="1"/>
    <col min="8963" max="8963" width="17" customWidth="1"/>
    <col min="8964" max="8964" width="13.5703125" customWidth="1"/>
    <col min="8965" max="8965" width="15.85546875" customWidth="1"/>
    <col min="8966" max="8972" width="13.5703125" customWidth="1"/>
    <col min="8973" max="8973" width="12.5703125" customWidth="1"/>
    <col min="8974" max="8974" width="11.85546875" customWidth="1"/>
    <col min="9217" max="9217" width="5.42578125" customWidth="1"/>
    <col min="9218" max="9218" width="22" customWidth="1"/>
    <col min="9219" max="9219" width="17" customWidth="1"/>
    <col min="9220" max="9220" width="13.5703125" customWidth="1"/>
    <col min="9221" max="9221" width="15.85546875" customWidth="1"/>
    <col min="9222" max="9228" width="13.5703125" customWidth="1"/>
    <col min="9229" max="9229" width="12.5703125" customWidth="1"/>
    <col min="9230" max="9230" width="11.85546875" customWidth="1"/>
    <col min="9473" max="9473" width="5.42578125" customWidth="1"/>
    <col min="9474" max="9474" width="22" customWidth="1"/>
    <col min="9475" max="9475" width="17" customWidth="1"/>
    <col min="9476" max="9476" width="13.5703125" customWidth="1"/>
    <col min="9477" max="9477" width="15.85546875" customWidth="1"/>
    <col min="9478" max="9484" width="13.5703125" customWidth="1"/>
    <col min="9485" max="9485" width="12.5703125" customWidth="1"/>
    <col min="9486" max="9486" width="11.85546875" customWidth="1"/>
    <col min="9729" max="9729" width="5.42578125" customWidth="1"/>
    <col min="9730" max="9730" width="22" customWidth="1"/>
    <col min="9731" max="9731" width="17" customWidth="1"/>
    <col min="9732" max="9732" width="13.5703125" customWidth="1"/>
    <col min="9733" max="9733" width="15.85546875" customWidth="1"/>
    <col min="9734" max="9740" width="13.5703125" customWidth="1"/>
    <col min="9741" max="9741" width="12.5703125" customWidth="1"/>
    <col min="9742" max="9742" width="11.85546875" customWidth="1"/>
    <col min="9985" max="9985" width="5.42578125" customWidth="1"/>
    <col min="9986" max="9986" width="22" customWidth="1"/>
    <col min="9987" max="9987" width="17" customWidth="1"/>
    <col min="9988" max="9988" width="13.5703125" customWidth="1"/>
    <col min="9989" max="9989" width="15.85546875" customWidth="1"/>
    <col min="9990" max="9996" width="13.5703125" customWidth="1"/>
    <col min="9997" max="9997" width="12.5703125" customWidth="1"/>
    <col min="9998" max="9998" width="11.85546875" customWidth="1"/>
    <col min="10241" max="10241" width="5.42578125" customWidth="1"/>
    <col min="10242" max="10242" width="22" customWidth="1"/>
    <col min="10243" max="10243" width="17" customWidth="1"/>
    <col min="10244" max="10244" width="13.5703125" customWidth="1"/>
    <col min="10245" max="10245" width="15.85546875" customWidth="1"/>
    <col min="10246" max="10252" width="13.5703125" customWidth="1"/>
    <col min="10253" max="10253" width="12.5703125" customWidth="1"/>
    <col min="10254" max="10254" width="11.85546875" customWidth="1"/>
    <col min="10497" max="10497" width="5.42578125" customWidth="1"/>
    <col min="10498" max="10498" width="22" customWidth="1"/>
    <col min="10499" max="10499" width="17" customWidth="1"/>
    <col min="10500" max="10500" width="13.5703125" customWidth="1"/>
    <col min="10501" max="10501" width="15.85546875" customWidth="1"/>
    <col min="10502" max="10508" width="13.5703125" customWidth="1"/>
    <col min="10509" max="10509" width="12.5703125" customWidth="1"/>
    <col min="10510" max="10510" width="11.85546875" customWidth="1"/>
    <col min="10753" max="10753" width="5.42578125" customWidth="1"/>
    <col min="10754" max="10754" width="22" customWidth="1"/>
    <col min="10755" max="10755" width="17" customWidth="1"/>
    <col min="10756" max="10756" width="13.5703125" customWidth="1"/>
    <col min="10757" max="10757" width="15.85546875" customWidth="1"/>
    <col min="10758" max="10764" width="13.5703125" customWidth="1"/>
    <col min="10765" max="10765" width="12.5703125" customWidth="1"/>
    <col min="10766" max="10766" width="11.85546875" customWidth="1"/>
    <col min="11009" max="11009" width="5.42578125" customWidth="1"/>
    <col min="11010" max="11010" width="22" customWidth="1"/>
    <col min="11011" max="11011" width="17" customWidth="1"/>
    <col min="11012" max="11012" width="13.5703125" customWidth="1"/>
    <col min="11013" max="11013" width="15.85546875" customWidth="1"/>
    <col min="11014" max="11020" width="13.5703125" customWidth="1"/>
    <col min="11021" max="11021" width="12.5703125" customWidth="1"/>
    <col min="11022" max="11022" width="11.85546875" customWidth="1"/>
    <col min="11265" max="11265" width="5.42578125" customWidth="1"/>
    <col min="11266" max="11266" width="22" customWidth="1"/>
    <col min="11267" max="11267" width="17" customWidth="1"/>
    <col min="11268" max="11268" width="13.5703125" customWidth="1"/>
    <col min="11269" max="11269" width="15.85546875" customWidth="1"/>
    <col min="11270" max="11276" width="13.5703125" customWidth="1"/>
    <col min="11277" max="11277" width="12.5703125" customWidth="1"/>
    <col min="11278" max="11278" width="11.85546875" customWidth="1"/>
    <col min="11521" max="11521" width="5.42578125" customWidth="1"/>
    <col min="11522" max="11522" width="22" customWidth="1"/>
    <col min="11523" max="11523" width="17" customWidth="1"/>
    <col min="11524" max="11524" width="13.5703125" customWidth="1"/>
    <col min="11525" max="11525" width="15.85546875" customWidth="1"/>
    <col min="11526" max="11532" width="13.5703125" customWidth="1"/>
    <col min="11533" max="11533" width="12.5703125" customWidth="1"/>
    <col min="11534" max="11534" width="11.85546875" customWidth="1"/>
    <col min="11777" max="11777" width="5.42578125" customWidth="1"/>
    <col min="11778" max="11778" width="22" customWidth="1"/>
    <col min="11779" max="11779" width="17" customWidth="1"/>
    <col min="11780" max="11780" width="13.5703125" customWidth="1"/>
    <col min="11781" max="11781" width="15.85546875" customWidth="1"/>
    <col min="11782" max="11788" width="13.5703125" customWidth="1"/>
    <col min="11789" max="11789" width="12.5703125" customWidth="1"/>
    <col min="11790" max="11790" width="11.85546875" customWidth="1"/>
    <col min="12033" max="12033" width="5.42578125" customWidth="1"/>
    <col min="12034" max="12034" width="22" customWidth="1"/>
    <col min="12035" max="12035" width="17" customWidth="1"/>
    <col min="12036" max="12036" width="13.5703125" customWidth="1"/>
    <col min="12037" max="12037" width="15.85546875" customWidth="1"/>
    <col min="12038" max="12044" width="13.5703125" customWidth="1"/>
    <col min="12045" max="12045" width="12.5703125" customWidth="1"/>
    <col min="12046" max="12046" width="11.85546875" customWidth="1"/>
    <col min="12289" max="12289" width="5.42578125" customWidth="1"/>
    <col min="12290" max="12290" width="22" customWidth="1"/>
    <col min="12291" max="12291" width="17" customWidth="1"/>
    <col min="12292" max="12292" width="13.5703125" customWidth="1"/>
    <col min="12293" max="12293" width="15.85546875" customWidth="1"/>
    <col min="12294" max="12300" width="13.5703125" customWidth="1"/>
    <col min="12301" max="12301" width="12.5703125" customWidth="1"/>
    <col min="12302" max="12302" width="11.85546875" customWidth="1"/>
    <col min="12545" max="12545" width="5.42578125" customWidth="1"/>
    <col min="12546" max="12546" width="22" customWidth="1"/>
    <col min="12547" max="12547" width="17" customWidth="1"/>
    <col min="12548" max="12548" width="13.5703125" customWidth="1"/>
    <col min="12549" max="12549" width="15.85546875" customWidth="1"/>
    <col min="12550" max="12556" width="13.5703125" customWidth="1"/>
    <col min="12557" max="12557" width="12.5703125" customWidth="1"/>
    <col min="12558" max="12558" width="11.85546875" customWidth="1"/>
    <col min="12801" max="12801" width="5.42578125" customWidth="1"/>
    <col min="12802" max="12802" width="22" customWidth="1"/>
    <col min="12803" max="12803" width="17" customWidth="1"/>
    <col min="12804" max="12804" width="13.5703125" customWidth="1"/>
    <col min="12805" max="12805" width="15.85546875" customWidth="1"/>
    <col min="12806" max="12812" width="13.5703125" customWidth="1"/>
    <col min="12813" max="12813" width="12.5703125" customWidth="1"/>
    <col min="12814" max="12814" width="11.85546875" customWidth="1"/>
    <col min="13057" max="13057" width="5.42578125" customWidth="1"/>
    <col min="13058" max="13058" width="22" customWidth="1"/>
    <col min="13059" max="13059" width="17" customWidth="1"/>
    <col min="13060" max="13060" width="13.5703125" customWidth="1"/>
    <col min="13061" max="13061" width="15.85546875" customWidth="1"/>
    <col min="13062" max="13068" width="13.5703125" customWidth="1"/>
    <col min="13069" max="13069" width="12.5703125" customWidth="1"/>
    <col min="13070" max="13070" width="11.85546875" customWidth="1"/>
    <col min="13313" max="13313" width="5.42578125" customWidth="1"/>
    <col min="13314" max="13314" width="22" customWidth="1"/>
    <col min="13315" max="13315" width="17" customWidth="1"/>
    <col min="13316" max="13316" width="13.5703125" customWidth="1"/>
    <col min="13317" max="13317" width="15.85546875" customWidth="1"/>
    <col min="13318" max="13324" width="13.5703125" customWidth="1"/>
    <col min="13325" max="13325" width="12.5703125" customWidth="1"/>
    <col min="13326" max="13326" width="11.85546875" customWidth="1"/>
    <col min="13569" max="13569" width="5.42578125" customWidth="1"/>
    <col min="13570" max="13570" width="22" customWidth="1"/>
    <col min="13571" max="13571" width="17" customWidth="1"/>
    <col min="13572" max="13572" width="13.5703125" customWidth="1"/>
    <col min="13573" max="13573" width="15.85546875" customWidth="1"/>
    <col min="13574" max="13580" width="13.5703125" customWidth="1"/>
    <col min="13581" max="13581" width="12.5703125" customWidth="1"/>
    <col min="13582" max="13582" width="11.85546875" customWidth="1"/>
    <col min="13825" max="13825" width="5.42578125" customWidth="1"/>
    <col min="13826" max="13826" width="22" customWidth="1"/>
    <col min="13827" max="13827" width="17" customWidth="1"/>
    <col min="13828" max="13828" width="13.5703125" customWidth="1"/>
    <col min="13829" max="13829" width="15.85546875" customWidth="1"/>
    <col min="13830" max="13836" width="13.5703125" customWidth="1"/>
    <col min="13837" max="13837" width="12.5703125" customWidth="1"/>
    <col min="13838" max="13838" width="11.85546875" customWidth="1"/>
    <col min="14081" max="14081" width="5.42578125" customWidth="1"/>
    <col min="14082" max="14082" width="22" customWidth="1"/>
    <col min="14083" max="14083" width="17" customWidth="1"/>
    <col min="14084" max="14084" width="13.5703125" customWidth="1"/>
    <col min="14085" max="14085" width="15.85546875" customWidth="1"/>
    <col min="14086" max="14092" width="13.5703125" customWidth="1"/>
    <col min="14093" max="14093" width="12.5703125" customWidth="1"/>
    <col min="14094" max="14094" width="11.85546875" customWidth="1"/>
    <col min="14337" max="14337" width="5.42578125" customWidth="1"/>
    <col min="14338" max="14338" width="22" customWidth="1"/>
    <col min="14339" max="14339" width="17" customWidth="1"/>
    <col min="14340" max="14340" width="13.5703125" customWidth="1"/>
    <col min="14341" max="14341" width="15.85546875" customWidth="1"/>
    <col min="14342" max="14348" width="13.5703125" customWidth="1"/>
    <col min="14349" max="14349" width="12.5703125" customWidth="1"/>
    <col min="14350" max="14350" width="11.85546875" customWidth="1"/>
    <col min="14593" max="14593" width="5.42578125" customWidth="1"/>
    <col min="14594" max="14594" width="22" customWidth="1"/>
    <col min="14595" max="14595" width="17" customWidth="1"/>
    <col min="14596" max="14596" width="13.5703125" customWidth="1"/>
    <col min="14597" max="14597" width="15.85546875" customWidth="1"/>
    <col min="14598" max="14604" width="13.5703125" customWidth="1"/>
    <col min="14605" max="14605" width="12.5703125" customWidth="1"/>
    <col min="14606" max="14606" width="11.85546875" customWidth="1"/>
    <col min="14849" max="14849" width="5.42578125" customWidth="1"/>
    <col min="14850" max="14850" width="22" customWidth="1"/>
    <col min="14851" max="14851" width="17" customWidth="1"/>
    <col min="14852" max="14852" width="13.5703125" customWidth="1"/>
    <col min="14853" max="14853" width="15.85546875" customWidth="1"/>
    <col min="14854" max="14860" width="13.5703125" customWidth="1"/>
    <col min="14861" max="14861" width="12.5703125" customWidth="1"/>
    <col min="14862" max="14862" width="11.85546875" customWidth="1"/>
    <col min="15105" max="15105" width="5.42578125" customWidth="1"/>
    <col min="15106" max="15106" width="22" customWidth="1"/>
    <col min="15107" max="15107" width="17" customWidth="1"/>
    <col min="15108" max="15108" width="13.5703125" customWidth="1"/>
    <col min="15109" max="15109" width="15.85546875" customWidth="1"/>
    <col min="15110" max="15116" width="13.5703125" customWidth="1"/>
    <col min="15117" max="15117" width="12.5703125" customWidth="1"/>
    <col min="15118" max="15118" width="11.85546875" customWidth="1"/>
    <col min="15361" max="15361" width="5.42578125" customWidth="1"/>
    <col min="15362" max="15362" width="22" customWidth="1"/>
    <col min="15363" max="15363" width="17" customWidth="1"/>
    <col min="15364" max="15364" width="13.5703125" customWidth="1"/>
    <col min="15365" max="15365" width="15.85546875" customWidth="1"/>
    <col min="15366" max="15372" width="13.5703125" customWidth="1"/>
    <col min="15373" max="15373" width="12.5703125" customWidth="1"/>
    <col min="15374" max="15374" width="11.85546875" customWidth="1"/>
    <col min="15617" max="15617" width="5.42578125" customWidth="1"/>
    <col min="15618" max="15618" width="22" customWidth="1"/>
    <col min="15619" max="15619" width="17" customWidth="1"/>
    <col min="15620" max="15620" width="13.5703125" customWidth="1"/>
    <col min="15621" max="15621" width="15.85546875" customWidth="1"/>
    <col min="15622" max="15628" width="13.5703125" customWidth="1"/>
    <col min="15629" max="15629" width="12.5703125" customWidth="1"/>
    <col min="15630" max="15630" width="11.85546875" customWidth="1"/>
    <col min="15873" max="15873" width="5.42578125" customWidth="1"/>
    <col min="15874" max="15874" width="22" customWidth="1"/>
    <col min="15875" max="15875" width="17" customWidth="1"/>
    <col min="15876" max="15876" width="13.5703125" customWidth="1"/>
    <col min="15877" max="15877" width="15.85546875" customWidth="1"/>
    <col min="15878" max="15884" width="13.5703125" customWidth="1"/>
    <col min="15885" max="15885" width="12.5703125" customWidth="1"/>
    <col min="15886" max="15886" width="11.85546875" customWidth="1"/>
    <col min="16129" max="16129" width="5.42578125" customWidth="1"/>
    <col min="16130" max="16130" width="22" customWidth="1"/>
    <col min="16131" max="16131" width="17" customWidth="1"/>
    <col min="16132" max="16132" width="13.5703125" customWidth="1"/>
    <col min="16133" max="16133" width="15.85546875" customWidth="1"/>
    <col min="16134" max="16140" width="13.5703125" customWidth="1"/>
    <col min="16141" max="16141" width="12.5703125" customWidth="1"/>
    <col min="16142" max="16142" width="11.85546875" customWidth="1"/>
  </cols>
  <sheetData>
    <row r="1" spans="1:16" ht="15.75" x14ac:dyDescent="0.25">
      <c r="A1" s="1"/>
      <c r="B1" s="2" t="s">
        <v>50</v>
      </c>
      <c r="C1" s="3"/>
      <c r="D1" s="4" t="s">
        <v>101</v>
      </c>
      <c r="E1" s="5"/>
      <c r="F1" s="6"/>
      <c r="G1" s="22" t="s">
        <v>51</v>
      </c>
      <c r="H1" s="22"/>
      <c r="I1" s="22"/>
      <c r="J1" s="5"/>
      <c r="K1" s="5"/>
      <c r="L1" s="5"/>
      <c r="M1" s="6"/>
      <c r="N1" s="6"/>
      <c r="O1" s="6"/>
      <c r="P1" s="3"/>
    </row>
    <row r="2" spans="1:16" ht="15.75" x14ac:dyDescent="0.25">
      <c r="A2" s="15"/>
      <c r="B2" s="72"/>
      <c r="C2" s="10"/>
      <c r="D2" s="145"/>
      <c r="E2" s="9"/>
      <c r="G2" s="73"/>
      <c r="H2" s="73"/>
      <c r="I2" s="73"/>
      <c r="J2" s="9"/>
      <c r="K2" s="78"/>
      <c r="L2" s="78"/>
      <c r="M2" s="79"/>
      <c r="P2" s="10"/>
    </row>
    <row r="3" spans="1:16" ht="15.75" thickBot="1" x14ac:dyDescent="0.3">
      <c r="A3" s="17"/>
      <c r="B3" s="205" t="s">
        <v>100</v>
      </c>
      <c r="C3" s="7"/>
      <c r="D3" s="8" t="s">
        <v>99</v>
      </c>
      <c r="F3" s="9"/>
      <c r="G3" s="9"/>
      <c r="H3" s="9"/>
      <c r="I3" s="9"/>
      <c r="J3" s="9"/>
      <c r="K3" s="9"/>
      <c r="L3" s="9"/>
      <c r="P3" s="10"/>
    </row>
    <row r="4" spans="1:16" ht="15.75" thickBot="1" x14ac:dyDescent="0.3">
      <c r="A4" s="23"/>
      <c r="B4" s="24" t="s">
        <v>0</v>
      </c>
      <c r="C4" s="25" t="s">
        <v>52</v>
      </c>
      <c r="D4" s="26"/>
      <c r="E4" s="69"/>
      <c r="F4" s="70"/>
      <c r="G4" s="248" t="s">
        <v>53</v>
      </c>
      <c r="H4" s="248"/>
      <c r="I4" s="248"/>
      <c r="J4" s="248"/>
      <c r="K4" s="248"/>
      <c r="L4" s="248"/>
      <c r="M4" s="248"/>
      <c r="N4" s="248"/>
      <c r="O4" s="11"/>
      <c r="P4" s="86"/>
    </row>
    <row r="5" spans="1:16" ht="15.75" thickBot="1" x14ac:dyDescent="0.3">
      <c r="A5" s="12" t="s">
        <v>54</v>
      </c>
      <c r="B5" s="27"/>
      <c r="C5" s="28"/>
      <c r="D5" s="75">
        <v>0</v>
      </c>
      <c r="E5" s="75">
        <v>1</v>
      </c>
      <c r="F5" s="75">
        <v>2</v>
      </c>
      <c r="G5" s="75">
        <v>3</v>
      </c>
      <c r="H5" s="75">
        <v>4</v>
      </c>
      <c r="I5" s="75">
        <v>5</v>
      </c>
      <c r="J5" s="149">
        <v>6</v>
      </c>
      <c r="K5" s="155">
        <v>7</v>
      </c>
      <c r="L5" s="150">
        <v>8</v>
      </c>
      <c r="M5" s="14">
        <v>9</v>
      </c>
      <c r="N5" s="162">
        <v>10</v>
      </c>
      <c r="O5" s="148">
        <v>11</v>
      </c>
      <c r="P5" s="163">
        <v>12</v>
      </c>
    </row>
    <row r="6" spans="1:16" ht="18.75" x14ac:dyDescent="0.4">
      <c r="A6" s="29" t="s">
        <v>6</v>
      </c>
      <c r="B6" s="30" t="s">
        <v>55</v>
      </c>
      <c r="C6" s="31" t="s">
        <v>56</v>
      </c>
      <c r="D6" s="76"/>
      <c r="E6" s="102"/>
      <c r="F6" s="103"/>
      <c r="G6" s="103"/>
      <c r="H6" s="193"/>
      <c r="I6" s="105">
        <f>'Lønnstabell 01.06.2026'!I4</f>
        <v>939198</v>
      </c>
      <c r="J6" s="105">
        <f>'Lønnstabell 01.06.2026'!J4</f>
        <v>944198</v>
      </c>
      <c r="K6" s="105">
        <f>'Lønnstabell 01.06.2026'!K4</f>
        <v>949198</v>
      </c>
      <c r="L6" s="105">
        <f>'Lønnstabell 01.06.2026'!L4</f>
        <v>954198</v>
      </c>
      <c r="M6" s="105">
        <f>'Lønnstabell 01.06.2026'!M4</f>
        <v>959198</v>
      </c>
      <c r="N6" s="105">
        <f>'Lønnstabell 01.06.2026'!N4</f>
        <v>964198</v>
      </c>
      <c r="O6" s="105">
        <f>'Lønnstabell 01.06.2026'!O4</f>
        <v>969198</v>
      </c>
      <c r="P6" s="105">
        <f>'Lønnstabell 01.06.2026'!P4</f>
        <v>974198</v>
      </c>
    </row>
    <row r="7" spans="1:16" x14ac:dyDescent="0.25">
      <c r="A7" s="32"/>
      <c r="B7" s="33" t="s">
        <v>57</v>
      </c>
      <c r="C7" s="206" t="s">
        <v>58</v>
      </c>
      <c r="D7" s="76"/>
      <c r="E7" s="207"/>
      <c r="F7" s="207"/>
      <c r="G7" s="207"/>
      <c r="H7" s="190"/>
      <c r="I7" s="91">
        <f>I8*12*0.47/146</f>
        <v>2056.7657254682695</v>
      </c>
      <c r="J7" s="91">
        <f>J8*12*0.47/146</f>
        <v>2067.7153107818467</v>
      </c>
      <c r="K7" s="92">
        <f t="shared" ref="K7:P7" si="0">K8*0.47*12/146</f>
        <v>2078.6648960954244</v>
      </c>
      <c r="L7" s="93">
        <f t="shared" si="0"/>
        <v>2089.6144814090017</v>
      </c>
      <c r="M7" s="161">
        <f t="shared" si="0"/>
        <v>2100.5640667225794</v>
      </c>
      <c r="N7" s="143">
        <f t="shared" si="0"/>
        <v>2111.5136520361566</v>
      </c>
      <c r="O7" s="161">
        <f t="shared" si="0"/>
        <v>2122.4632373497348</v>
      </c>
      <c r="P7" s="144">
        <f t="shared" si="0"/>
        <v>2133.412822663312</v>
      </c>
    </row>
    <row r="8" spans="1:16" x14ac:dyDescent="0.25">
      <c r="A8" s="32"/>
      <c r="B8" s="33" t="s">
        <v>59</v>
      </c>
      <c r="C8" s="206" t="s">
        <v>60</v>
      </c>
      <c r="D8" s="76"/>
      <c r="E8" s="207"/>
      <c r="F8" s="207"/>
      <c r="G8" s="207"/>
      <c r="H8" s="190"/>
      <c r="I8" s="34">
        <f>(I6*100)/(147*12)</f>
        <v>53242.517006802722</v>
      </c>
      <c r="J8" s="34">
        <f t="shared" ref="J8:P8" si="1">(J6*100)/(147*12)</f>
        <v>53525.963718820858</v>
      </c>
      <c r="K8" s="35">
        <f t="shared" si="1"/>
        <v>53809.410430839001</v>
      </c>
      <c r="L8" s="87">
        <f t="shared" si="1"/>
        <v>54092.857142857145</v>
      </c>
      <c r="M8" s="35">
        <f t="shared" si="1"/>
        <v>54376.303854875281</v>
      </c>
      <c r="N8" s="87">
        <f t="shared" si="1"/>
        <v>54659.750566893425</v>
      </c>
      <c r="O8" s="164">
        <f t="shared" si="1"/>
        <v>54943.197278911568</v>
      </c>
      <c r="P8" s="36">
        <f t="shared" si="1"/>
        <v>55226.643990929704</v>
      </c>
    </row>
    <row r="9" spans="1:16" x14ac:dyDescent="0.25">
      <c r="A9" s="32"/>
      <c r="B9" s="33" t="s">
        <v>5</v>
      </c>
      <c r="C9" s="206" t="s">
        <v>61</v>
      </c>
      <c r="D9" s="76"/>
      <c r="E9" s="207"/>
      <c r="F9" s="207"/>
      <c r="G9" s="207"/>
      <c r="H9" s="190"/>
      <c r="I9" s="34">
        <f>I8*47.08/52.14</f>
        <v>48075.521685467436</v>
      </c>
      <c r="J9" s="34">
        <f t="shared" ref="J9:P9" si="2">J8*47.08/52.14</f>
        <v>48331.460910665242</v>
      </c>
      <c r="K9" s="35">
        <f t="shared" si="2"/>
        <v>48587.400135863063</v>
      </c>
      <c r="L9" s="87">
        <f t="shared" si="2"/>
        <v>48843.339361060876</v>
      </c>
      <c r="M9" s="35">
        <f t="shared" si="2"/>
        <v>49099.27858625869</v>
      </c>
      <c r="N9" s="87">
        <f t="shared" si="2"/>
        <v>49355.21781145651</v>
      </c>
      <c r="O9" s="165">
        <f t="shared" si="2"/>
        <v>49611.157036654324</v>
      </c>
      <c r="P9" s="36">
        <f t="shared" si="2"/>
        <v>49867.096261852137</v>
      </c>
    </row>
    <row r="10" spans="1:16" x14ac:dyDescent="0.25">
      <c r="A10" s="32"/>
      <c r="B10" s="33" t="s">
        <v>62</v>
      </c>
      <c r="C10" s="208" t="s">
        <v>63</v>
      </c>
      <c r="D10" s="76"/>
      <c r="E10" s="209"/>
      <c r="F10" s="209"/>
      <c r="G10" s="209"/>
      <c r="H10" s="191"/>
      <c r="I10" s="37">
        <f t="shared" ref="I10:P10" si="3">I6/1752</f>
        <v>536.07191780821915</v>
      </c>
      <c r="J10" s="37">
        <f t="shared" si="3"/>
        <v>538.92579908675805</v>
      </c>
      <c r="K10" s="38">
        <f t="shared" si="3"/>
        <v>541.77968036529683</v>
      </c>
      <c r="L10" s="88">
        <f t="shared" si="3"/>
        <v>544.63356164383561</v>
      </c>
      <c r="M10" s="38">
        <f t="shared" si="3"/>
        <v>547.48744292237438</v>
      </c>
      <c r="N10" s="88">
        <f t="shared" si="3"/>
        <v>550.34132420091328</v>
      </c>
      <c r="O10" s="38">
        <f t="shared" si="3"/>
        <v>553.19520547945206</v>
      </c>
      <c r="P10" s="39">
        <f t="shared" si="3"/>
        <v>556.04908675799084</v>
      </c>
    </row>
    <row r="11" spans="1:16" x14ac:dyDescent="0.25">
      <c r="A11" s="32"/>
      <c r="B11" s="40" t="s">
        <v>64</v>
      </c>
      <c r="C11" s="208" t="s">
        <v>65</v>
      </c>
      <c r="D11" s="76"/>
      <c r="E11" s="209"/>
      <c r="F11" s="209"/>
      <c r="G11" s="209"/>
      <c r="H11" s="191"/>
      <c r="I11" s="37">
        <f t="shared" ref="I11:P11" si="4">I6/1752*1.65</f>
        <v>884.5186643835616</v>
      </c>
      <c r="J11" s="37">
        <f t="shared" si="4"/>
        <v>889.22756849315078</v>
      </c>
      <c r="K11" s="38">
        <f t="shared" si="4"/>
        <v>893.93647260273974</v>
      </c>
      <c r="L11" s="88">
        <f t="shared" si="4"/>
        <v>898.6453767123287</v>
      </c>
      <c r="M11" s="38">
        <f t="shared" si="4"/>
        <v>903.35428082191765</v>
      </c>
      <c r="N11" s="88">
        <f t="shared" si="4"/>
        <v>908.06318493150684</v>
      </c>
      <c r="O11" s="38">
        <f t="shared" si="4"/>
        <v>912.7720890410958</v>
      </c>
      <c r="P11" s="39">
        <f t="shared" si="4"/>
        <v>917.48099315068487</v>
      </c>
    </row>
    <row r="12" spans="1:16" x14ac:dyDescent="0.25">
      <c r="A12" s="32"/>
      <c r="B12" s="33" t="s">
        <v>8</v>
      </c>
      <c r="C12" s="208" t="s">
        <v>66</v>
      </c>
      <c r="D12" s="76"/>
      <c r="E12" s="209"/>
      <c r="F12" s="209"/>
      <c r="G12" s="209"/>
      <c r="H12" s="191"/>
      <c r="I12" s="37">
        <f t="shared" ref="I12:P12" si="5">I8/162.5</f>
        <v>327.64625850340138</v>
      </c>
      <c r="J12" s="37">
        <f t="shared" si="5"/>
        <v>329.39054596197451</v>
      </c>
      <c r="K12" s="38">
        <f t="shared" si="5"/>
        <v>331.13483342054769</v>
      </c>
      <c r="L12" s="88">
        <f t="shared" si="5"/>
        <v>332.87912087912088</v>
      </c>
      <c r="M12" s="38">
        <f t="shared" si="5"/>
        <v>334.62340833769406</v>
      </c>
      <c r="N12" s="88">
        <f t="shared" si="5"/>
        <v>336.36769579626724</v>
      </c>
      <c r="O12" s="166">
        <f t="shared" si="5"/>
        <v>338.11198325484042</v>
      </c>
      <c r="P12" s="39">
        <f t="shared" si="5"/>
        <v>339.85627071341355</v>
      </c>
    </row>
    <row r="13" spans="1:16" x14ac:dyDescent="0.25">
      <c r="A13" s="32"/>
      <c r="B13" s="16" t="s">
        <v>67</v>
      </c>
      <c r="C13" s="208" t="s">
        <v>68</v>
      </c>
      <c r="D13" s="76"/>
      <c r="E13" s="209"/>
      <c r="F13" s="209"/>
      <c r="G13" s="209"/>
      <c r="H13" s="191"/>
      <c r="I13" s="37">
        <f t="shared" ref="I13:P13" si="6">I12*1.5</f>
        <v>491.46938775510205</v>
      </c>
      <c r="J13" s="37">
        <f t="shared" si="6"/>
        <v>494.08581894296174</v>
      </c>
      <c r="K13" s="38">
        <f t="shared" si="6"/>
        <v>496.70225013082154</v>
      </c>
      <c r="L13" s="88">
        <f t="shared" si="6"/>
        <v>499.31868131868134</v>
      </c>
      <c r="M13" s="38">
        <f t="shared" si="6"/>
        <v>501.93511250654109</v>
      </c>
      <c r="N13" s="88">
        <f t="shared" si="6"/>
        <v>504.55154369440083</v>
      </c>
      <c r="O13" s="166">
        <f t="shared" si="6"/>
        <v>507.16797488226064</v>
      </c>
      <c r="P13" s="39">
        <f t="shared" si="6"/>
        <v>509.78440607012033</v>
      </c>
    </row>
    <row r="14" spans="1:16" ht="15.75" thickBot="1" x14ac:dyDescent="0.3">
      <c r="A14" s="32"/>
      <c r="B14" s="41" t="s">
        <v>69</v>
      </c>
      <c r="C14" s="210" t="s">
        <v>70</v>
      </c>
      <c r="D14" s="76"/>
      <c r="E14" s="211"/>
      <c r="F14" s="211"/>
      <c r="G14" s="211"/>
      <c r="H14" s="192"/>
      <c r="I14" s="42">
        <f t="shared" ref="I14:P14" si="7">I12*2</f>
        <v>655.29251700680277</v>
      </c>
      <c r="J14" s="42">
        <f t="shared" si="7"/>
        <v>658.78109192394902</v>
      </c>
      <c r="K14" s="43">
        <f t="shared" si="7"/>
        <v>662.26966684109539</v>
      </c>
      <c r="L14" s="89">
        <f t="shared" si="7"/>
        <v>665.75824175824175</v>
      </c>
      <c r="M14" s="43">
        <f t="shared" si="7"/>
        <v>669.24681667538812</v>
      </c>
      <c r="N14" s="89">
        <f t="shared" si="7"/>
        <v>672.73539159253448</v>
      </c>
      <c r="O14" s="167">
        <f t="shared" si="7"/>
        <v>676.22396650968085</v>
      </c>
      <c r="P14" s="90">
        <f t="shared" si="7"/>
        <v>679.7125414268271</v>
      </c>
    </row>
    <row r="15" spans="1:16" ht="18.75" x14ac:dyDescent="0.4">
      <c r="A15" s="44" t="s">
        <v>16</v>
      </c>
      <c r="B15" s="45" t="s">
        <v>71</v>
      </c>
      <c r="C15" s="31" t="s">
        <v>56</v>
      </c>
      <c r="D15" s="106"/>
      <c r="E15" s="142"/>
      <c r="F15" s="98"/>
      <c r="G15" s="194"/>
      <c r="H15" s="99"/>
      <c r="I15" s="100">
        <f>'Lønnstabell 01.06.2026'!I12</f>
        <v>911381</v>
      </c>
      <c r="J15" s="100">
        <f>'Lønnstabell 01.06.2026'!J12</f>
        <v>916381</v>
      </c>
      <c r="K15" s="100">
        <f>'Lønnstabell 01.06.2026'!K12</f>
        <v>921381</v>
      </c>
      <c r="L15" s="100">
        <f>'Lønnstabell 01.06.2026'!L12</f>
        <v>926381</v>
      </c>
      <c r="M15" s="100">
        <f>'Lønnstabell 01.06.2026'!M12</f>
        <v>931381</v>
      </c>
      <c r="N15" s="100">
        <f>'Lønnstabell 01.06.2026'!N12</f>
        <v>936381</v>
      </c>
      <c r="O15" s="100">
        <f>'Lønnstabell 01.06.2026'!O12</f>
        <v>941381</v>
      </c>
      <c r="P15" s="100">
        <f>'Lønnstabell 01.06.2026'!P12</f>
        <v>946381</v>
      </c>
    </row>
    <row r="16" spans="1:16" x14ac:dyDescent="0.25">
      <c r="A16" s="46"/>
      <c r="B16" s="45" t="s">
        <v>72</v>
      </c>
      <c r="C16" s="206" t="s">
        <v>58</v>
      </c>
      <c r="D16" s="212"/>
      <c r="E16" s="207"/>
      <c r="F16" s="213"/>
      <c r="G16" s="195"/>
      <c r="H16" s="214"/>
      <c r="I16" s="91">
        <f>I17*12*0.47/146</f>
        <v>1995.8488025347121</v>
      </c>
      <c r="J16" s="91">
        <f>J17*12*0.47/146</f>
        <v>2006.7983878482901</v>
      </c>
      <c r="K16" s="92">
        <f>K17*12*0.47/146</f>
        <v>2017.7479731618671</v>
      </c>
      <c r="L16" s="157">
        <f t="shared" ref="L16:P16" si="8">L17*12*0.47/146</f>
        <v>2028.697558475445</v>
      </c>
      <c r="M16" s="94">
        <f t="shared" si="8"/>
        <v>2039.6471437890225</v>
      </c>
      <c r="N16" s="157">
        <f t="shared" si="8"/>
        <v>2050.5967291025995</v>
      </c>
      <c r="O16" s="94">
        <f t="shared" si="8"/>
        <v>2061.5463144161772</v>
      </c>
      <c r="P16" s="151">
        <f t="shared" si="8"/>
        <v>2072.4958997297549</v>
      </c>
    </row>
    <row r="17" spans="1:16" x14ac:dyDescent="0.25">
      <c r="A17" s="46"/>
      <c r="B17" s="45" t="s">
        <v>73</v>
      </c>
      <c r="C17" s="206" t="s">
        <v>60</v>
      </c>
      <c r="D17" s="212"/>
      <c r="E17" s="207"/>
      <c r="F17" s="213"/>
      <c r="G17" s="195"/>
      <c r="H17" s="213"/>
      <c r="I17" s="34">
        <f>(I15*100)/(147*12)</f>
        <v>51665.589569160999</v>
      </c>
      <c r="J17" s="34">
        <f>(J15*100)/(147*12)</f>
        <v>51949.036281179142</v>
      </c>
      <c r="K17" s="35">
        <f>(K15*100)/(147*12)</f>
        <v>52232.482993197278</v>
      </c>
      <c r="L17" s="158">
        <f t="shared" ref="L17:P17" si="9">(L15*100)/(147*12)</f>
        <v>52515.929705215422</v>
      </c>
      <c r="M17" s="96">
        <f t="shared" si="9"/>
        <v>52799.376417233558</v>
      </c>
      <c r="N17" s="158">
        <f t="shared" si="9"/>
        <v>53082.823129251701</v>
      </c>
      <c r="O17" s="96">
        <f t="shared" si="9"/>
        <v>53366.269841269845</v>
      </c>
      <c r="P17" s="152">
        <f t="shared" si="9"/>
        <v>53649.716553287981</v>
      </c>
    </row>
    <row r="18" spans="1:16" x14ac:dyDescent="0.25">
      <c r="A18" s="46"/>
      <c r="B18" s="45" t="s">
        <v>74</v>
      </c>
      <c r="C18" s="206" t="s">
        <v>61</v>
      </c>
      <c r="D18" s="212"/>
      <c r="E18" s="207"/>
      <c r="F18" s="213"/>
      <c r="G18" s="195"/>
      <c r="H18" s="213"/>
      <c r="I18" s="34">
        <f>I17*47.08/52.14</f>
        <v>46651.629400001912</v>
      </c>
      <c r="J18" s="34">
        <f>J17*47.08/52.14</f>
        <v>46907.568625199725</v>
      </c>
      <c r="K18" s="35">
        <f>K17*47.08/52.14</f>
        <v>47163.507850397538</v>
      </c>
      <c r="L18" s="158">
        <f t="shared" ref="L18:P18" si="10">L17*47.08/52.14</f>
        <v>47419.447075595352</v>
      </c>
      <c r="M18" s="96">
        <f t="shared" si="10"/>
        <v>47675.386300793165</v>
      </c>
      <c r="N18" s="158">
        <f t="shared" si="10"/>
        <v>47931.325525990986</v>
      </c>
      <c r="O18" s="96">
        <f t="shared" si="10"/>
        <v>48187.264751188799</v>
      </c>
      <c r="P18" s="152">
        <f t="shared" si="10"/>
        <v>48443.203976386612</v>
      </c>
    </row>
    <row r="19" spans="1:16" x14ac:dyDescent="0.25">
      <c r="A19" s="46"/>
      <c r="B19" s="45" t="s">
        <v>75</v>
      </c>
      <c r="C19" s="208" t="s">
        <v>63</v>
      </c>
      <c r="D19" s="215"/>
      <c r="E19" s="209"/>
      <c r="F19" s="216"/>
      <c r="G19" s="196"/>
      <c r="H19" s="216"/>
      <c r="I19" s="37">
        <f>I15/1752</f>
        <v>520.19463470319636</v>
      </c>
      <c r="J19" s="37">
        <f>J15/1752</f>
        <v>523.04851598173514</v>
      </c>
      <c r="K19" s="38">
        <f>K15/1752</f>
        <v>525.90239726027403</v>
      </c>
      <c r="L19" s="159">
        <f t="shared" ref="L19:P19" si="11">L15/1752</f>
        <v>528.75627853881281</v>
      </c>
      <c r="M19" s="95">
        <f t="shared" si="11"/>
        <v>531.61015981735159</v>
      </c>
      <c r="N19" s="159">
        <f t="shared" si="11"/>
        <v>534.46404109589037</v>
      </c>
      <c r="O19" s="95">
        <f t="shared" si="11"/>
        <v>537.31792237442926</v>
      </c>
      <c r="P19" s="153">
        <f t="shared" si="11"/>
        <v>540.17180365296804</v>
      </c>
    </row>
    <row r="20" spans="1:16" x14ac:dyDescent="0.25">
      <c r="A20" s="46"/>
      <c r="B20" s="45" t="s">
        <v>76</v>
      </c>
      <c r="C20" s="208" t="s">
        <v>65</v>
      </c>
      <c r="D20" s="215"/>
      <c r="E20" s="209"/>
      <c r="F20" s="216"/>
      <c r="G20" s="196"/>
      <c r="H20" s="216"/>
      <c r="I20" s="37">
        <f>I15/1752*1.65</f>
        <v>858.32114726027396</v>
      </c>
      <c r="J20" s="37">
        <f>J15/1752*1.65</f>
        <v>863.03005136986292</v>
      </c>
      <c r="K20" s="38">
        <f>K15/1752*1.65</f>
        <v>867.7389554794521</v>
      </c>
      <c r="L20" s="159">
        <f t="shared" ref="L20:P20" si="12">L15/1752*1.65</f>
        <v>872.44785958904106</v>
      </c>
      <c r="M20" s="95">
        <f t="shared" si="12"/>
        <v>877.15676369863002</v>
      </c>
      <c r="N20" s="159">
        <f t="shared" si="12"/>
        <v>881.86566780821909</v>
      </c>
      <c r="O20" s="95">
        <f t="shared" si="12"/>
        <v>886.57457191780827</v>
      </c>
      <c r="P20" s="153">
        <f t="shared" si="12"/>
        <v>891.28347602739723</v>
      </c>
    </row>
    <row r="21" spans="1:16" x14ac:dyDescent="0.25">
      <c r="A21" s="46"/>
      <c r="B21" s="45" t="s">
        <v>77</v>
      </c>
      <c r="C21" s="208" t="s">
        <v>66</v>
      </c>
      <c r="D21" s="215"/>
      <c r="E21" s="209"/>
      <c r="F21" s="216"/>
      <c r="G21" s="196"/>
      <c r="H21" s="216"/>
      <c r="I21" s="37">
        <f>I17/162.5</f>
        <v>317.9420896563754</v>
      </c>
      <c r="J21" s="37">
        <f>J17/162.5</f>
        <v>319.68637711494858</v>
      </c>
      <c r="K21" s="38">
        <f>K17/162.5</f>
        <v>321.43066457352171</v>
      </c>
      <c r="L21" s="159">
        <f t="shared" ref="L21:P21" si="13">L17/162.5</f>
        <v>323.17495203209489</v>
      </c>
      <c r="M21" s="95">
        <f t="shared" si="13"/>
        <v>324.91923949066802</v>
      </c>
      <c r="N21" s="159">
        <f t="shared" si="13"/>
        <v>326.66352694924126</v>
      </c>
      <c r="O21" s="95">
        <f t="shared" si="13"/>
        <v>328.40781440781444</v>
      </c>
      <c r="P21" s="153">
        <f t="shared" si="13"/>
        <v>330.15210186638757</v>
      </c>
    </row>
    <row r="22" spans="1:16" x14ac:dyDescent="0.25">
      <c r="A22" s="46"/>
      <c r="B22" s="45" t="s">
        <v>78</v>
      </c>
      <c r="C22" s="208" t="s">
        <v>68</v>
      </c>
      <c r="D22" s="215"/>
      <c r="E22" s="209"/>
      <c r="F22" s="216"/>
      <c r="G22" s="196"/>
      <c r="H22" s="216"/>
      <c r="I22" s="37">
        <f>I21*1.5</f>
        <v>476.9131344845631</v>
      </c>
      <c r="J22" s="37">
        <f>J21*1.5</f>
        <v>479.5295656724229</v>
      </c>
      <c r="K22" s="38">
        <f>K21*1.5</f>
        <v>482.14599686028259</v>
      </c>
      <c r="L22" s="159">
        <f t="shared" ref="L22:P22" si="14">L21*1.5</f>
        <v>484.76242804814234</v>
      </c>
      <c r="M22" s="95">
        <f t="shared" si="14"/>
        <v>487.37885923600203</v>
      </c>
      <c r="N22" s="159">
        <f t="shared" si="14"/>
        <v>489.99529042386189</v>
      </c>
      <c r="O22" s="95">
        <f t="shared" si="14"/>
        <v>492.61172161172169</v>
      </c>
      <c r="P22" s="153">
        <f t="shared" si="14"/>
        <v>495.22815279958138</v>
      </c>
    </row>
    <row r="23" spans="1:16" x14ac:dyDescent="0.25">
      <c r="A23" s="46"/>
      <c r="B23" s="45" t="s">
        <v>79</v>
      </c>
      <c r="C23" s="208" t="s">
        <v>70</v>
      </c>
      <c r="D23" s="215"/>
      <c r="E23" s="209"/>
      <c r="F23" s="216"/>
      <c r="G23" s="196"/>
      <c r="H23" s="216"/>
      <c r="I23" s="37">
        <f>I21*2</f>
        <v>635.8841793127508</v>
      </c>
      <c r="J23" s="37">
        <f>J21*2</f>
        <v>639.37275422989717</v>
      </c>
      <c r="K23" s="38">
        <f>K21*2</f>
        <v>642.86132914704342</v>
      </c>
      <c r="L23" s="159">
        <f t="shared" ref="L23:P23" si="15">L21*2</f>
        <v>646.34990406418979</v>
      </c>
      <c r="M23" s="95">
        <f t="shared" si="15"/>
        <v>649.83847898133604</v>
      </c>
      <c r="N23" s="159">
        <f t="shared" si="15"/>
        <v>653.32705389848252</v>
      </c>
      <c r="O23" s="95">
        <f t="shared" si="15"/>
        <v>656.81562881562888</v>
      </c>
      <c r="P23" s="153">
        <f t="shared" si="15"/>
        <v>660.30420373277514</v>
      </c>
    </row>
    <row r="24" spans="1:16" x14ac:dyDescent="0.25">
      <c r="A24" s="46"/>
      <c r="B24" s="45" t="s">
        <v>20</v>
      </c>
      <c r="C24" s="208"/>
      <c r="D24" s="215"/>
      <c r="E24" s="209"/>
      <c r="F24" s="216"/>
      <c r="G24" s="217"/>
      <c r="H24" s="216"/>
      <c r="I24" s="47"/>
      <c r="J24" s="15"/>
      <c r="K24" s="82"/>
      <c r="M24" s="16"/>
      <c r="O24" s="16"/>
      <c r="P24" s="10"/>
    </row>
    <row r="25" spans="1:16" ht="15.75" thickBot="1" x14ac:dyDescent="0.3">
      <c r="A25" s="48"/>
      <c r="B25" s="49" t="s">
        <v>80</v>
      </c>
      <c r="C25" s="50"/>
      <c r="D25" s="218"/>
      <c r="E25" s="219"/>
      <c r="F25" s="220"/>
      <c r="G25" s="221"/>
      <c r="H25" s="220"/>
      <c r="I25" s="51"/>
      <c r="J25" s="15"/>
      <c r="K25" s="156"/>
      <c r="L25" s="146"/>
      <c r="M25" s="83"/>
      <c r="N25" s="146"/>
      <c r="O25" s="83"/>
      <c r="P25" s="147"/>
    </row>
    <row r="26" spans="1:16" ht="18.75" x14ac:dyDescent="0.25">
      <c r="A26" s="52" t="s">
        <v>25</v>
      </c>
      <c r="B26" s="30" t="s">
        <v>81</v>
      </c>
      <c r="C26" s="31" t="s">
        <v>56</v>
      </c>
      <c r="D26" s="77"/>
      <c r="E26" s="102"/>
      <c r="F26" s="103"/>
      <c r="G26" s="236">
        <f>'Lønnstabell 01.06.2026'!G21</f>
        <v>872866</v>
      </c>
      <c r="H26" s="236">
        <f>'Lønnstabell 01.06.2026'!H21</f>
        <v>888810</v>
      </c>
      <c r="I26" s="236">
        <f>'Lønnstabell 01.06.2026'!I21</f>
        <v>892614</v>
      </c>
      <c r="J26" s="236">
        <f>'Lønnstabell 01.06.2026'!J21</f>
        <v>897614</v>
      </c>
      <c r="K26" s="236">
        <f>'Lønnstabell 01.06.2026'!K21</f>
        <v>902614</v>
      </c>
      <c r="L26" s="236">
        <f>'Lønnstabell 01.06.2026'!L21</f>
        <v>907614</v>
      </c>
      <c r="M26" s="236">
        <f>'Lønnstabell 01.06.2026'!M21</f>
        <v>912614</v>
      </c>
      <c r="N26" s="236">
        <f>'Lønnstabell 01.06.2026'!N21</f>
        <v>917614</v>
      </c>
      <c r="O26" s="236">
        <f>'Lønnstabell 01.06.2026'!O21</f>
        <v>922614</v>
      </c>
      <c r="P26" s="236">
        <f>'Lønnstabell 01.06.2026'!P21</f>
        <v>927614</v>
      </c>
    </row>
    <row r="27" spans="1:16" x14ac:dyDescent="0.25">
      <c r="A27" s="32"/>
      <c r="B27" s="33" t="s">
        <v>82</v>
      </c>
      <c r="C27" s="206" t="s">
        <v>58</v>
      </c>
      <c r="D27" s="212"/>
      <c r="E27" s="207"/>
      <c r="F27" s="207"/>
      <c r="G27" s="222">
        <f>G28*12*0.47/146</f>
        <v>1911.5041468642246</v>
      </c>
      <c r="H27" s="222">
        <f t="shared" ref="H27:I27" si="16">H28*12*0.47/146</f>
        <v>1946.4201845121611</v>
      </c>
      <c r="I27" s="223">
        <f t="shared" si="16"/>
        <v>1954.7506290187307</v>
      </c>
      <c r="J27" s="91">
        <f>J28*12*0.47/146</f>
        <v>1965.7002143323084</v>
      </c>
      <c r="K27" s="92">
        <f>K28*12*0.47/146</f>
        <v>1976.6497996458857</v>
      </c>
      <c r="L27" s="157">
        <f t="shared" ref="L27:P27" si="17">L28*12*0.47/146</f>
        <v>1987.5993849594629</v>
      </c>
      <c r="M27" s="94">
        <f t="shared" si="17"/>
        <v>1998.5489702730408</v>
      </c>
      <c r="N27" s="157">
        <f t="shared" si="17"/>
        <v>2009.4985555866178</v>
      </c>
      <c r="O27" s="94">
        <f t="shared" si="17"/>
        <v>2020.4481409001958</v>
      </c>
      <c r="P27" s="151">
        <f t="shared" si="17"/>
        <v>2031.3977262137732</v>
      </c>
    </row>
    <row r="28" spans="1:16" x14ac:dyDescent="0.25">
      <c r="A28" s="32"/>
      <c r="B28" s="33" t="s">
        <v>83</v>
      </c>
      <c r="C28" s="206" t="s">
        <v>60</v>
      </c>
      <c r="D28" s="212"/>
      <c r="E28" s="207"/>
      <c r="F28" s="207"/>
      <c r="G28" s="207">
        <f t="shared" ref="G28:J28" si="18">(G26*100)/(147*12)</f>
        <v>49482.199546485259</v>
      </c>
      <c r="H28" s="207">
        <f t="shared" si="18"/>
        <v>50386.054421768706</v>
      </c>
      <c r="I28" s="224">
        <f t="shared" si="18"/>
        <v>50601.700680272108</v>
      </c>
      <c r="J28" s="34">
        <f t="shared" si="18"/>
        <v>50885.147392290251</v>
      </c>
      <c r="K28" s="35">
        <f>(K26*100)/(147*12)</f>
        <v>51168.594104308388</v>
      </c>
      <c r="L28" s="158">
        <f t="shared" ref="L28:P28" si="19">(L26*100)/(147*12)</f>
        <v>51452.040816326531</v>
      </c>
      <c r="M28" s="96">
        <f t="shared" si="19"/>
        <v>51735.487528344675</v>
      </c>
      <c r="N28" s="158">
        <f t="shared" si="19"/>
        <v>52018.934240362811</v>
      </c>
      <c r="O28" s="96">
        <f t="shared" si="19"/>
        <v>52302.380952380954</v>
      </c>
      <c r="P28" s="152">
        <f t="shared" si="19"/>
        <v>52585.82766439909</v>
      </c>
    </row>
    <row r="29" spans="1:16" x14ac:dyDescent="0.25">
      <c r="A29" s="32"/>
      <c r="B29" s="33" t="s">
        <v>84</v>
      </c>
      <c r="C29" s="206" t="s">
        <v>61</v>
      </c>
      <c r="D29" s="212"/>
      <c r="E29" s="207"/>
      <c r="F29" s="207"/>
      <c r="G29" s="207">
        <f t="shared" ref="G29:H29" si="20">G28*47.08/52.14</f>
        <v>44680.129548303143</v>
      </c>
      <c r="H29" s="207">
        <f t="shared" si="20"/>
        <v>45496.268549613931</v>
      </c>
      <c r="I29" s="224">
        <f>I28*47.08/52.14</f>
        <v>45690.987112144438</v>
      </c>
      <c r="J29" s="34">
        <f>J28*47.08/52.14</f>
        <v>45946.926337342251</v>
      </c>
      <c r="K29" s="35">
        <f>K28*47.08/52.14</f>
        <v>46202.865562540064</v>
      </c>
      <c r="L29" s="158">
        <f t="shared" ref="L29:P29" si="21">L28*47.08/52.14</f>
        <v>46458.804787737878</v>
      </c>
      <c r="M29" s="96">
        <f t="shared" si="21"/>
        <v>46714.744012935698</v>
      </c>
      <c r="N29" s="158">
        <f t="shared" si="21"/>
        <v>46970.683238133512</v>
      </c>
      <c r="O29" s="96">
        <f t="shared" si="21"/>
        <v>47226.622463331325</v>
      </c>
      <c r="P29" s="152">
        <f t="shared" si="21"/>
        <v>47482.561688529138</v>
      </c>
    </row>
    <row r="30" spans="1:16" x14ac:dyDescent="0.25">
      <c r="A30" s="32"/>
      <c r="B30" s="33" t="s">
        <v>26</v>
      </c>
      <c r="C30" s="208" t="s">
        <v>63</v>
      </c>
      <c r="D30" s="215"/>
      <c r="E30" s="209"/>
      <c r="F30" s="209"/>
      <c r="G30" s="209">
        <f t="shared" ref="G30:J30" si="22">G26/1752</f>
        <v>498.21118721461187</v>
      </c>
      <c r="H30" s="209">
        <f t="shared" si="22"/>
        <v>507.31164383561645</v>
      </c>
      <c r="I30" s="217">
        <f t="shared" si="22"/>
        <v>509.48287671232879</v>
      </c>
      <c r="J30" s="37">
        <f t="shared" si="22"/>
        <v>512.33675799086757</v>
      </c>
      <c r="K30" s="38">
        <f>K26/1752</f>
        <v>515.19063926940635</v>
      </c>
      <c r="L30" s="159">
        <f t="shared" ref="L30:P30" si="23">L26/1752</f>
        <v>518.04452054794524</v>
      </c>
      <c r="M30" s="95">
        <f t="shared" si="23"/>
        <v>520.89840182648402</v>
      </c>
      <c r="N30" s="159">
        <f t="shared" si="23"/>
        <v>523.7522831050228</v>
      </c>
      <c r="O30" s="95">
        <f t="shared" si="23"/>
        <v>526.60616438356169</v>
      </c>
      <c r="P30" s="153">
        <f t="shared" si="23"/>
        <v>529.46004566210047</v>
      </c>
    </row>
    <row r="31" spans="1:16" x14ac:dyDescent="0.25">
      <c r="A31" s="32"/>
      <c r="B31" s="33" t="s">
        <v>85</v>
      </c>
      <c r="C31" s="208" t="s">
        <v>65</v>
      </c>
      <c r="D31" s="215"/>
      <c r="E31" s="209"/>
      <c r="F31" s="209"/>
      <c r="G31" s="209">
        <f>G26/1752*1.65</f>
        <v>822.04845890410957</v>
      </c>
      <c r="H31" s="209">
        <f t="shared" ref="H31:J31" si="24">H26/1752*1.65</f>
        <v>837.0642123287671</v>
      </c>
      <c r="I31" s="217">
        <f t="shared" si="24"/>
        <v>840.64674657534249</v>
      </c>
      <c r="J31" s="37">
        <f t="shared" si="24"/>
        <v>845.35565068493145</v>
      </c>
      <c r="K31" s="38">
        <f>K26/1752*1.65</f>
        <v>850.0645547945204</v>
      </c>
      <c r="L31" s="159">
        <f t="shared" ref="L31:P31" si="25">L26/1752*1.65</f>
        <v>854.77345890410959</v>
      </c>
      <c r="M31" s="95">
        <f t="shared" si="25"/>
        <v>859.48236301369855</v>
      </c>
      <c r="N31" s="159">
        <f t="shared" si="25"/>
        <v>864.19126712328762</v>
      </c>
      <c r="O31" s="95">
        <f t="shared" si="25"/>
        <v>868.90017123287669</v>
      </c>
      <c r="P31" s="153">
        <f t="shared" si="25"/>
        <v>873.60907534246576</v>
      </c>
    </row>
    <row r="32" spans="1:16" x14ac:dyDescent="0.25">
      <c r="A32" s="32"/>
      <c r="B32" s="33" t="s">
        <v>86</v>
      </c>
      <c r="C32" s="208" t="s">
        <v>66</v>
      </c>
      <c r="D32" s="215"/>
      <c r="E32" s="209"/>
      <c r="F32" s="209"/>
      <c r="G32" s="209">
        <f t="shared" ref="G32:H32" si="26">G28/162.5</f>
        <v>304.50584336298618</v>
      </c>
      <c r="H32" s="209">
        <f t="shared" si="26"/>
        <v>310.06802721088434</v>
      </c>
      <c r="I32" s="217">
        <f>I28/162.5</f>
        <v>311.3950811093668</v>
      </c>
      <c r="J32" s="37">
        <f>J28/162.5</f>
        <v>313.13936856793998</v>
      </c>
      <c r="K32" s="38">
        <f>K28/162.5</f>
        <v>314.88365602651317</v>
      </c>
      <c r="L32" s="159">
        <f t="shared" ref="L32:P32" si="27">L28/162.5</f>
        <v>316.62794348508635</v>
      </c>
      <c r="M32" s="95">
        <f t="shared" si="27"/>
        <v>318.37223094365953</v>
      </c>
      <c r="N32" s="159">
        <f t="shared" si="27"/>
        <v>320.11651840223266</v>
      </c>
      <c r="O32" s="95">
        <f t="shared" si="27"/>
        <v>321.8608058608059</v>
      </c>
      <c r="P32" s="153">
        <f t="shared" si="27"/>
        <v>323.60509331937902</v>
      </c>
    </row>
    <row r="33" spans="1:16" x14ac:dyDescent="0.25">
      <c r="A33" s="32"/>
      <c r="B33" s="33" t="s">
        <v>87</v>
      </c>
      <c r="C33" s="208" t="s">
        <v>68</v>
      </c>
      <c r="D33" s="215"/>
      <c r="E33" s="209"/>
      <c r="F33" s="209"/>
      <c r="G33" s="209">
        <f t="shared" ref="G33:H33" si="28">G32*1.5</f>
        <v>456.75876504447928</v>
      </c>
      <c r="H33" s="209">
        <f t="shared" si="28"/>
        <v>465.10204081632651</v>
      </c>
      <c r="I33" s="217">
        <f>I32*1.5</f>
        <v>467.09262166405017</v>
      </c>
      <c r="J33" s="37">
        <f>J32*1.5</f>
        <v>469.70905285190997</v>
      </c>
      <c r="K33" s="38">
        <f>K32*1.5</f>
        <v>472.32548403976978</v>
      </c>
      <c r="L33" s="159">
        <f t="shared" ref="L33:P33" si="29">L32*1.5</f>
        <v>474.94191522762952</v>
      </c>
      <c r="M33" s="95">
        <f t="shared" si="29"/>
        <v>477.55834641548927</v>
      </c>
      <c r="N33" s="159">
        <f t="shared" si="29"/>
        <v>480.17477760334896</v>
      </c>
      <c r="O33" s="95">
        <f t="shared" si="29"/>
        <v>482.79120879120887</v>
      </c>
      <c r="P33" s="153">
        <f t="shared" si="29"/>
        <v>485.40763997906856</v>
      </c>
    </row>
    <row r="34" spans="1:16" ht="15.75" thickBot="1" x14ac:dyDescent="0.3">
      <c r="A34" s="53"/>
      <c r="B34" s="54" t="s">
        <v>88</v>
      </c>
      <c r="C34" s="210" t="s">
        <v>70</v>
      </c>
      <c r="D34" s="225"/>
      <c r="E34" s="211"/>
      <c r="F34" s="211"/>
      <c r="G34" s="211">
        <f>G32*2</f>
        <v>609.01168672597237</v>
      </c>
      <c r="H34" s="211">
        <f t="shared" ref="H34" si="30">H32*2</f>
        <v>620.13605442176868</v>
      </c>
      <c r="I34" s="226">
        <f>I32*2</f>
        <v>622.7901622187336</v>
      </c>
      <c r="J34" s="42">
        <f>J32*2</f>
        <v>626.27873713587996</v>
      </c>
      <c r="K34" s="38">
        <f>K32*2</f>
        <v>629.76731205302633</v>
      </c>
      <c r="L34" s="160">
        <f t="shared" ref="L34:P34" si="31">L32*2</f>
        <v>633.2558869701727</v>
      </c>
      <c r="M34" s="97">
        <f t="shared" si="31"/>
        <v>636.74446188731906</v>
      </c>
      <c r="N34" s="160">
        <f t="shared" si="31"/>
        <v>640.23303680446531</v>
      </c>
      <c r="O34" s="97">
        <f t="shared" si="31"/>
        <v>643.72161172161179</v>
      </c>
      <c r="P34" s="154">
        <f t="shared" si="31"/>
        <v>647.21018663875805</v>
      </c>
    </row>
    <row r="35" spans="1:16" ht="18.75" x14ac:dyDescent="0.25">
      <c r="A35" s="52" t="s">
        <v>31</v>
      </c>
      <c r="B35" s="30" t="s">
        <v>89</v>
      </c>
      <c r="C35" s="31" t="s">
        <v>56</v>
      </c>
      <c r="D35" s="77"/>
      <c r="E35" s="68"/>
      <c r="F35" s="103"/>
      <c r="G35" s="103"/>
      <c r="H35" s="197"/>
      <c r="I35" s="237">
        <f>'Lønnstabell 01.06.2026'!I29</f>
        <v>820187</v>
      </c>
      <c r="J35" s="237">
        <f>'Lønnstabell 01.06.2026'!J29</f>
        <v>825187</v>
      </c>
      <c r="K35" s="237">
        <f>'Lønnstabell 01.06.2026'!K29</f>
        <v>830187</v>
      </c>
      <c r="L35" s="237">
        <f>'Lønnstabell 01.06.2026'!L29</f>
        <v>835187</v>
      </c>
      <c r="M35" s="237">
        <f>'Lønnstabell 01.06.2026'!M29</f>
        <v>840187</v>
      </c>
      <c r="N35" s="241">
        <f>'Lønnstabell 01.06.2026'!N29</f>
        <v>845187</v>
      </c>
      <c r="O35" s="236">
        <f>'Lønnstabell 01.06.2026'!O29</f>
        <v>850187</v>
      </c>
      <c r="P35" s="236">
        <f>'Lønnstabell 01.06.2026'!P29</f>
        <v>855187</v>
      </c>
    </row>
    <row r="36" spans="1:16" x14ac:dyDescent="0.25">
      <c r="A36" s="32"/>
      <c r="B36" s="33" t="s">
        <v>90</v>
      </c>
      <c r="C36" s="206" t="s">
        <v>58</v>
      </c>
      <c r="D36" s="212"/>
      <c r="E36" s="207"/>
      <c r="F36" s="207"/>
      <c r="G36" s="207"/>
      <c r="H36" s="201"/>
      <c r="I36" s="223">
        <f t="shared" ref="I36:P36" si="32">I37*12*0.47/146</f>
        <v>1796.1415059174353</v>
      </c>
      <c r="J36" s="91">
        <f t="shared" si="32"/>
        <v>1807.0910912310133</v>
      </c>
      <c r="K36" s="94">
        <f t="shared" si="32"/>
        <v>1818.0406765445898</v>
      </c>
      <c r="L36" s="157">
        <f t="shared" si="32"/>
        <v>1828.9902618581677</v>
      </c>
      <c r="M36" s="94">
        <f t="shared" si="32"/>
        <v>1839.9398471717457</v>
      </c>
      <c r="N36" s="242">
        <f t="shared" si="32"/>
        <v>1850.8894324853227</v>
      </c>
      <c r="O36" s="94">
        <f t="shared" si="32"/>
        <v>1861.8390177989004</v>
      </c>
      <c r="P36" s="94">
        <f t="shared" si="32"/>
        <v>1872.7886031124779</v>
      </c>
    </row>
    <row r="37" spans="1:16" x14ac:dyDescent="0.25">
      <c r="A37" s="32"/>
      <c r="B37" s="33"/>
      <c r="C37" s="206" t="s">
        <v>60</v>
      </c>
      <c r="D37" s="212"/>
      <c r="E37" s="207"/>
      <c r="F37" s="207"/>
      <c r="G37" s="207"/>
      <c r="H37" s="201"/>
      <c r="I37" s="224">
        <f t="shared" ref="I37:P37" si="33">(I35*100)/(147*12)</f>
        <v>46495.861678004534</v>
      </c>
      <c r="J37" s="34">
        <f t="shared" si="33"/>
        <v>46779.308390022677</v>
      </c>
      <c r="K37" s="96">
        <f t="shared" si="33"/>
        <v>47062.755102040814</v>
      </c>
      <c r="L37" s="158">
        <f t="shared" si="33"/>
        <v>47346.201814058957</v>
      </c>
      <c r="M37" s="96">
        <f t="shared" si="33"/>
        <v>47629.648526077101</v>
      </c>
      <c r="N37" s="243">
        <f t="shared" si="33"/>
        <v>47913.095238095237</v>
      </c>
      <c r="O37" s="96">
        <f t="shared" si="33"/>
        <v>48196.54195011338</v>
      </c>
      <c r="P37" s="96">
        <f t="shared" si="33"/>
        <v>48479.988662131516</v>
      </c>
    </row>
    <row r="38" spans="1:16" x14ac:dyDescent="0.25">
      <c r="A38" s="32"/>
      <c r="B38" s="33"/>
      <c r="C38" s="206" t="s">
        <v>61</v>
      </c>
      <c r="D38" s="212"/>
      <c r="E38" s="207"/>
      <c r="F38" s="207"/>
      <c r="G38" s="207"/>
      <c r="H38" s="201"/>
      <c r="I38" s="224">
        <f t="shared" ref="I38:P38" si="34">I37*47.08/52.14</f>
        <v>41983.605059464011</v>
      </c>
      <c r="J38" s="34">
        <f t="shared" si="34"/>
        <v>42239.544284661824</v>
      </c>
      <c r="K38" s="96">
        <f t="shared" si="34"/>
        <v>42495.483509859638</v>
      </c>
      <c r="L38" s="158">
        <f t="shared" si="34"/>
        <v>42751.422735057451</v>
      </c>
      <c r="M38" s="96">
        <f t="shared" si="34"/>
        <v>43007.361960255272</v>
      </c>
      <c r="N38" s="243">
        <f t="shared" si="34"/>
        <v>43263.301185453085</v>
      </c>
      <c r="O38" s="96">
        <f t="shared" si="34"/>
        <v>43519.240410650898</v>
      </c>
      <c r="P38" s="96">
        <f t="shared" si="34"/>
        <v>43775.179635848712</v>
      </c>
    </row>
    <row r="39" spans="1:16" x14ac:dyDescent="0.25">
      <c r="A39" s="32"/>
      <c r="B39" s="33"/>
      <c r="C39" s="208" t="s">
        <v>63</v>
      </c>
      <c r="D39" s="215"/>
      <c r="E39" s="209"/>
      <c r="F39" s="209"/>
      <c r="G39" s="209"/>
      <c r="H39" s="202"/>
      <c r="I39" s="217">
        <f t="shared" ref="I39:P39" si="35">I35/1752</f>
        <v>468.14326484018267</v>
      </c>
      <c r="J39" s="37">
        <f t="shared" si="35"/>
        <v>470.99714611872145</v>
      </c>
      <c r="K39" s="95">
        <f t="shared" si="35"/>
        <v>473.85102739726028</v>
      </c>
      <c r="L39" s="159">
        <f t="shared" si="35"/>
        <v>476.70490867579906</v>
      </c>
      <c r="M39" s="95">
        <f t="shared" si="35"/>
        <v>479.5587899543379</v>
      </c>
      <c r="N39" s="244">
        <f t="shared" si="35"/>
        <v>482.41267123287673</v>
      </c>
      <c r="O39" s="95">
        <f t="shared" si="35"/>
        <v>485.26655251141551</v>
      </c>
      <c r="P39" s="95">
        <f t="shared" si="35"/>
        <v>488.12043378995435</v>
      </c>
    </row>
    <row r="40" spans="1:16" x14ac:dyDescent="0.25">
      <c r="A40" s="32"/>
      <c r="B40" s="33"/>
      <c r="C40" s="208" t="s">
        <v>65</v>
      </c>
      <c r="D40" s="215"/>
      <c r="E40" s="209"/>
      <c r="F40" s="209"/>
      <c r="G40" s="209"/>
      <c r="H40" s="202"/>
      <c r="I40" s="217">
        <f t="shared" ref="I40:P40" si="36">I35/1752*1.65</f>
        <v>772.43638698630139</v>
      </c>
      <c r="J40" s="37">
        <f t="shared" si="36"/>
        <v>777.14529109589034</v>
      </c>
      <c r="K40" s="95">
        <f t="shared" si="36"/>
        <v>781.85419520547941</v>
      </c>
      <c r="L40" s="159">
        <f t="shared" si="36"/>
        <v>786.56309931506837</v>
      </c>
      <c r="M40" s="95">
        <f t="shared" si="36"/>
        <v>791.27200342465744</v>
      </c>
      <c r="N40" s="244">
        <f t="shared" si="36"/>
        <v>795.98090753424651</v>
      </c>
      <c r="O40" s="95">
        <f t="shared" si="36"/>
        <v>800.68981164383558</v>
      </c>
      <c r="P40" s="95">
        <f t="shared" si="36"/>
        <v>805.39871575342465</v>
      </c>
    </row>
    <row r="41" spans="1:16" x14ac:dyDescent="0.25">
      <c r="A41" s="32"/>
      <c r="B41" s="33"/>
      <c r="C41" s="208" t="s">
        <v>66</v>
      </c>
      <c r="D41" s="215"/>
      <c r="E41" s="209"/>
      <c r="F41" s="209"/>
      <c r="G41" s="209"/>
      <c r="H41" s="202"/>
      <c r="I41" s="217">
        <f t="shared" ref="I41:P41" si="37">I37/162.5</f>
        <v>286.12837955695096</v>
      </c>
      <c r="J41" s="37">
        <f t="shared" si="37"/>
        <v>287.87266701552414</v>
      </c>
      <c r="K41" s="95">
        <f t="shared" si="37"/>
        <v>289.61695447409733</v>
      </c>
      <c r="L41" s="159">
        <f t="shared" si="37"/>
        <v>291.36124193267051</v>
      </c>
      <c r="M41" s="95">
        <f t="shared" si="37"/>
        <v>293.10552939124369</v>
      </c>
      <c r="N41" s="244">
        <f t="shared" si="37"/>
        <v>294.84981684981682</v>
      </c>
      <c r="O41" s="95">
        <f t="shared" si="37"/>
        <v>296.59410430839006</v>
      </c>
      <c r="P41" s="95">
        <f t="shared" si="37"/>
        <v>298.33839176696318</v>
      </c>
    </row>
    <row r="42" spans="1:16" x14ac:dyDescent="0.25">
      <c r="A42" s="32"/>
      <c r="B42" s="33"/>
      <c r="C42" s="208" t="s">
        <v>68</v>
      </c>
      <c r="D42" s="215"/>
      <c r="E42" s="209"/>
      <c r="F42" s="209"/>
      <c r="G42" s="209"/>
      <c r="H42" s="202"/>
      <c r="I42" s="217">
        <f t="shared" ref="I42:P42" si="38">I41*1.5</f>
        <v>429.19256933542647</v>
      </c>
      <c r="J42" s="37">
        <f t="shared" si="38"/>
        <v>431.80900052328622</v>
      </c>
      <c r="K42" s="95">
        <f t="shared" si="38"/>
        <v>434.42543171114596</v>
      </c>
      <c r="L42" s="159">
        <f t="shared" si="38"/>
        <v>437.04186289900576</v>
      </c>
      <c r="M42" s="95">
        <f t="shared" si="38"/>
        <v>439.65829408686557</v>
      </c>
      <c r="N42" s="244">
        <f t="shared" si="38"/>
        <v>442.27472527472526</v>
      </c>
      <c r="O42" s="95">
        <f t="shared" si="38"/>
        <v>444.89115646258506</v>
      </c>
      <c r="P42" s="95">
        <f t="shared" si="38"/>
        <v>447.50758765044475</v>
      </c>
    </row>
    <row r="43" spans="1:16" ht="15.75" thickBot="1" x14ac:dyDescent="0.3">
      <c r="A43" s="53"/>
      <c r="B43" s="55"/>
      <c r="C43" s="210" t="s">
        <v>70</v>
      </c>
      <c r="D43" s="225"/>
      <c r="E43" s="211"/>
      <c r="F43" s="211"/>
      <c r="G43" s="211"/>
      <c r="H43" s="203"/>
      <c r="I43" s="226">
        <f t="shared" ref="I43:P43" si="39">I41*2</f>
        <v>572.25675911390192</v>
      </c>
      <c r="J43" s="42">
        <f t="shared" si="39"/>
        <v>575.74533403104829</v>
      </c>
      <c r="K43" s="97">
        <f t="shared" si="39"/>
        <v>579.23390894819465</v>
      </c>
      <c r="L43" s="160">
        <f t="shared" si="39"/>
        <v>582.72248386534102</v>
      </c>
      <c r="M43" s="97">
        <f t="shared" si="39"/>
        <v>586.21105878248738</v>
      </c>
      <c r="N43" s="245">
        <f t="shared" si="39"/>
        <v>589.69963369963364</v>
      </c>
      <c r="O43" s="97">
        <f t="shared" si="39"/>
        <v>593.18820861678012</v>
      </c>
      <c r="P43" s="97">
        <f t="shared" si="39"/>
        <v>596.67678353392637</v>
      </c>
    </row>
    <row r="44" spans="1:16" x14ac:dyDescent="0.25">
      <c r="A44" t="s">
        <v>43</v>
      </c>
      <c r="H44" s="18"/>
      <c r="I44" s="18"/>
      <c r="J44" s="18"/>
      <c r="K44" s="18"/>
      <c r="L44" s="18"/>
    </row>
    <row r="45" spans="1:16" ht="16.5" customHeight="1" x14ac:dyDescent="0.25">
      <c r="A45" s="19" t="s">
        <v>91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6" ht="9.75" customHeight="1" x14ac:dyDescent="0.25">
      <c r="I46" s="9"/>
      <c r="J46" s="9"/>
      <c r="K46" s="9"/>
      <c r="L46" s="9"/>
    </row>
    <row r="47" spans="1:16" x14ac:dyDescent="0.25">
      <c r="A47" s="56" t="s">
        <v>33</v>
      </c>
      <c r="B47" s="57"/>
      <c r="C47" s="57"/>
      <c r="D47" s="58"/>
      <c r="E47" s="58"/>
      <c r="F47" s="58"/>
      <c r="G47" s="59"/>
      <c r="H47" s="59"/>
    </row>
    <row r="48" spans="1:16" x14ac:dyDescent="0.25">
      <c r="A48" s="60" t="s">
        <v>34</v>
      </c>
      <c r="B48" s="61"/>
      <c r="C48" s="60" t="s">
        <v>92</v>
      </c>
      <c r="D48" s="62"/>
      <c r="E48" s="60" t="s">
        <v>39</v>
      </c>
      <c r="F48" s="62"/>
      <c r="G48" s="60" t="s">
        <v>38</v>
      </c>
      <c r="H48" s="62"/>
      <c r="I48" s="80" t="s">
        <v>41</v>
      </c>
      <c r="J48" s="81"/>
    </row>
    <row r="49" spans="1:11" x14ac:dyDescent="0.25">
      <c r="A49" s="60" t="s">
        <v>35</v>
      </c>
      <c r="B49" s="61"/>
      <c r="C49" s="60" t="s">
        <v>37</v>
      </c>
      <c r="D49" s="62"/>
      <c r="E49" s="63" t="s">
        <v>93</v>
      </c>
      <c r="F49" s="64"/>
      <c r="G49" s="60" t="s">
        <v>94</v>
      </c>
      <c r="H49" s="62"/>
      <c r="I49" s="80" t="s">
        <v>42</v>
      </c>
      <c r="J49" s="81"/>
    </row>
    <row r="50" spans="1:11" ht="18" customHeight="1" x14ac:dyDescent="0.25">
      <c r="A50" s="65" t="s">
        <v>95</v>
      </c>
    </row>
    <row r="51" spans="1:11" x14ac:dyDescent="0.25">
      <c r="A51" s="125" t="s">
        <v>43</v>
      </c>
      <c r="B51" s="125"/>
      <c r="C51" s="125"/>
      <c r="D51" s="125"/>
      <c r="E51" s="125"/>
      <c r="F51" s="125"/>
      <c r="G51" s="127"/>
      <c r="H51" s="127"/>
      <c r="I51" s="127"/>
      <c r="J51" s="127"/>
      <c r="K51" s="127"/>
    </row>
    <row r="52" spans="1:11" x14ac:dyDescent="0.25">
      <c r="A52" s="251" t="s">
        <v>44</v>
      </c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5.75" x14ac:dyDescent="0.25">
      <c r="A53" s="246" t="s">
        <v>104</v>
      </c>
    </row>
    <row r="54" spans="1:11" ht="15.75" x14ac:dyDescent="0.25">
      <c r="A54" s="254" t="s">
        <v>106</v>
      </c>
      <c r="B54" s="254"/>
      <c r="C54" s="254"/>
      <c r="D54" s="254"/>
      <c r="E54" s="254"/>
      <c r="F54" s="254"/>
      <c r="G54" s="254"/>
      <c r="H54" s="254"/>
      <c r="I54" s="254"/>
      <c r="J54" s="254"/>
      <c r="K54" s="254"/>
    </row>
    <row r="56" spans="1:11" x14ac:dyDescent="0.25">
      <c r="A56" t="s">
        <v>45</v>
      </c>
    </row>
    <row r="57" spans="1:11" x14ac:dyDescent="0.25">
      <c r="A57" t="s">
        <v>46</v>
      </c>
    </row>
    <row r="58" spans="1:11" x14ac:dyDescent="0.25">
      <c r="A58" t="s">
        <v>47</v>
      </c>
    </row>
    <row r="59" spans="1:11" x14ac:dyDescent="0.25">
      <c r="A59" t="s">
        <v>48</v>
      </c>
    </row>
    <row r="60" spans="1:11" x14ac:dyDescent="0.25">
      <c r="A60" t="s">
        <v>49</v>
      </c>
    </row>
  </sheetData>
  <mergeCells count="3">
    <mergeCell ref="G4:N4"/>
    <mergeCell ref="A52:K52"/>
    <mergeCell ref="A54:K54"/>
  </mergeCells>
  <pageMargins left="0.51181102362204722" right="0.31496062992125984" top="0.55118110236220474" bottom="0.35433070866141736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"/>
  <sheetViews>
    <sheetView view="pageLayout" zoomScaleNormal="90" zoomScaleSheetLayoutView="100" workbookViewId="0"/>
  </sheetViews>
  <sheetFormatPr baseColWidth="10" defaultColWidth="11.42578125" defaultRowHeight="15" x14ac:dyDescent="0.25"/>
  <cols>
    <col min="1" max="1" width="5.42578125" customWidth="1"/>
    <col min="2" max="2" width="22" customWidth="1"/>
    <col min="3" max="3" width="17" customWidth="1"/>
    <col min="4" max="12" width="13.5703125" customWidth="1"/>
    <col min="13" max="13" width="12.5703125" customWidth="1"/>
    <col min="14" max="14" width="12.85546875" bestFit="1" customWidth="1"/>
    <col min="15" max="15" width="15.5703125" bestFit="1" customWidth="1"/>
    <col min="257" max="257" width="5.42578125" customWidth="1"/>
    <col min="258" max="258" width="22" customWidth="1"/>
    <col min="259" max="259" width="17" customWidth="1"/>
    <col min="260" max="260" width="13.5703125" customWidth="1"/>
    <col min="261" max="261" width="15.85546875" customWidth="1"/>
    <col min="262" max="268" width="13.5703125" customWidth="1"/>
    <col min="269" max="269" width="12.5703125" customWidth="1"/>
    <col min="270" max="270" width="11.85546875" customWidth="1"/>
    <col min="513" max="513" width="5.42578125" customWidth="1"/>
    <col min="514" max="514" width="22" customWidth="1"/>
    <col min="515" max="515" width="17" customWidth="1"/>
    <col min="516" max="516" width="13.5703125" customWidth="1"/>
    <col min="517" max="517" width="15.85546875" customWidth="1"/>
    <col min="518" max="524" width="13.5703125" customWidth="1"/>
    <col min="525" max="525" width="12.5703125" customWidth="1"/>
    <col min="526" max="526" width="11.85546875" customWidth="1"/>
    <col min="769" max="769" width="5.42578125" customWidth="1"/>
    <col min="770" max="770" width="22" customWidth="1"/>
    <col min="771" max="771" width="17" customWidth="1"/>
    <col min="772" max="772" width="13.5703125" customWidth="1"/>
    <col min="773" max="773" width="15.85546875" customWidth="1"/>
    <col min="774" max="780" width="13.5703125" customWidth="1"/>
    <col min="781" max="781" width="12.5703125" customWidth="1"/>
    <col min="782" max="782" width="11.85546875" customWidth="1"/>
    <col min="1025" max="1025" width="5.42578125" customWidth="1"/>
    <col min="1026" max="1026" width="22" customWidth="1"/>
    <col min="1027" max="1027" width="17" customWidth="1"/>
    <col min="1028" max="1028" width="13.5703125" customWidth="1"/>
    <col min="1029" max="1029" width="15.85546875" customWidth="1"/>
    <col min="1030" max="1036" width="13.5703125" customWidth="1"/>
    <col min="1037" max="1037" width="12.5703125" customWidth="1"/>
    <col min="1038" max="1038" width="11.85546875" customWidth="1"/>
    <col min="1281" max="1281" width="5.42578125" customWidth="1"/>
    <col min="1282" max="1282" width="22" customWidth="1"/>
    <col min="1283" max="1283" width="17" customWidth="1"/>
    <col min="1284" max="1284" width="13.5703125" customWidth="1"/>
    <col min="1285" max="1285" width="15.85546875" customWidth="1"/>
    <col min="1286" max="1292" width="13.5703125" customWidth="1"/>
    <col min="1293" max="1293" width="12.5703125" customWidth="1"/>
    <col min="1294" max="1294" width="11.85546875" customWidth="1"/>
    <col min="1537" max="1537" width="5.42578125" customWidth="1"/>
    <col min="1538" max="1538" width="22" customWidth="1"/>
    <col min="1539" max="1539" width="17" customWidth="1"/>
    <col min="1540" max="1540" width="13.5703125" customWidth="1"/>
    <col min="1541" max="1541" width="15.85546875" customWidth="1"/>
    <col min="1542" max="1548" width="13.5703125" customWidth="1"/>
    <col min="1549" max="1549" width="12.5703125" customWidth="1"/>
    <col min="1550" max="1550" width="11.85546875" customWidth="1"/>
    <col min="1793" max="1793" width="5.42578125" customWidth="1"/>
    <col min="1794" max="1794" width="22" customWidth="1"/>
    <col min="1795" max="1795" width="17" customWidth="1"/>
    <col min="1796" max="1796" width="13.5703125" customWidth="1"/>
    <col min="1797" max="1797" width="15.85546875" customWidth="1"/>
    <col min="1798" max="1804" width="13.5703125" customWidth="1"/>
    <col min="1805" max="1805" width="12.5703125" customWidth="1"/>
    <col min="1806" max="1806" width="11.85546875" customWidth="1"/>
    <col min="2049" max="2049" width="5.42578125" customWidth="1"/>
    <col min="2050" max="2050" width="22" customWidth="1"/>
    <col min="2051" max="2051" width="17" customWidth="1"/>
    <col min="2052" max="2052" width="13.5703125" customWidth="1"/>
    <col min="2053" max="2053" width="15.85546875" customWidth="1"/>
    <col min="2054" max="2060" width="13.5703125" customWidth="1"/>
    <col min="2061" max="2061" width="12.5703125" customWidth="1"/>
    <col min="2062" max="2062" width="11.85546875" customWidth="1"/>
    <col min="2305" max="2305" width="5.42578125" customWidth="1"/>
    <col min="2306" max="2306" width="22" customWidth="1"/>
    <col min="2307" max="2307" width="17" customWidth="1"/>
    <col min="2308" max="2308" width="13.5703125" customWidth="1"/>
    <col min="2309" max="2309" width="15.85546875" customWidth="1"/>
    <col min="2310" max="2316" width="13.5703125" customWidth="1"/>
    <col min="2317" max="2317" width="12.5703125" customWidth="1"/>
    <col min="2318" max="2318" width="11.85546875" customWidth="1"/>
    <col min="2561" max="2561" width="5.42578125" customWidth="1"/>
    <col min="2562" max="2562" width="22" customWidth="1"/>
    <col min="2563" max="2563" width="17" customWidth="1"/>
    <col min="2564" max="2564" width="13.5703125" customWidth="1"/>
    <col min="2565" max="2565" width="15.85546875" customWidth="1"/>
    <col min="2566" max="2572" width="13.5703125" customWidth="1"/>
    <col min="2573" max="2573" width="12.5703125" customWidth="1"/>
    <col min="2574" max="2574" width="11.85546875" customWidth="1"/>
    <col min="2817" max="2817" width="5.42578125" customWidth="1"/>
    <col min="2818" max="2818" width="22" customWidth="1"/>
    <col min="2819" max="2819" width="17" customWidth="1"/>
    <col min="2820" max="2820" width="13.5703125" customWidth="1"/>
    <col min="2821" max="2821" width="15.85546875" customWidth="1"/>
    <col min="2822" max="2828" width="13.5703125" customWidth="1"/>
    <col min="2829" max="2829" width="12.5703125" customWidth="1"/>
    <col min="2830" max="2830" width="11.85546875" customWidth="1"/>
    <col min="3073" max="3073" width="5.42578125" customWidth="1"/>
    <col min="3074" max="3074" width="22" customWidth="1"/>
    <col min="3075" max="3075" width="17" customWidth="1"/>
    <col min="3076" max="3076" width="13.5703125" customWidth="1"/>
    <col min="3077" max="3077" width="15.85546875" customWidth="1"/>
    <col min="3078" max="3084" width="13.5703125" customWidth="1"/>
    <col min="3085" max="3085" width="12.5703125" customWidth="1"/>
    <col min="3086" max="3086" width="11.85546875" customWidth="1"/>
    <col min="3329" max="3329" width="5.42578125" customWidth="1"/>
    <col min="3330" max="3330" width="22" customWidth="1"/>
    <col min="3331" max="3331" width="17" customWidth="1"/>
    <col min="3332" max="3332" width="13.5703125" customWidth="1"/>
    <col min="3333" max="3333" width="15.85546875" customWidth="1"/>
    <col min="3334" max="3340" width="13.5703125" customWidth="1"/>
    <col min="3341" max="3341" width="12.5703125" customWidth="1"/>
    <col min="3342" max="3342" width="11.85546875" customWidth="1"/>
    <col min="3585" max="3585" width="5.42578125" customWidth="1"/>
    <col min="3586" max="3586" width="22" customWidth="1"/>
    <col min="3587" max="3587" width="17" customWidth="1"/>
    <col min="3588" max="3588" width="13.5703125" customWidth="1"/>
    <col min="3589" max="3589" width="15.85546875" customWidth="1"/>
    <col min="3590" max="3596" width="13.5703125" customWidth="1"/>
    <col min="3597" max="3597" width="12.5703125" customWidth="1"/>
    <col min="3598" max="3598" width="11.85546875" customWidth="1"/>
    <col min="3841" max="3841" width="5.42578125" customWidth="1"/>
    <col min="3842" max="3842" width="22" customWidth="1"/>
    <col min="3843" max="3843" width="17" customWidth="1"/>
    <col min="3844" max="3844" width="13.5703125" customWidth="1"/>
    <col min="3845" max="3845" width="15.85546875" customWidth="1"/>
    <col min="3846" max="3852" width="13.5703125" customWidth="1"/>
    <col min="3853" max="3853" width="12.5703125" customWidth="1"/>
    <col min="3854" max="3854" width="11.85546875" customWidth="1"/>
    <col min="4097" max="4097" width="5.42578125" customWidth="1"/>
    <col min="4098" max="4098" width="22" customWidth="1"/>
    <col min="4099" max="4099" width="17" customWidth="1"/>
    <col min="4100" max="4100" width="13.5703125" customWidth="1"/>
    <col min="4101" max="4101" width="15.85546875" customWidth="1"/>
    <col min="4102" max="4108" width="13.5703125" customWidth="1"/>
    <col min="4109" max="4109" width="12.5703125" customWidth="1"/>
    <col min="4110" max="4110" width="11.85546875" customWidth="1"/>
    <col min="4353" max="4353" width="5.42578125" customWidth="1"/>
    <col min="4354" max="4354" width="22" customWidth="1"/>
    <col min="4355" max="4355" width="17" customWidth="1"/>
    <col min="4356" max="4356" width="13.5703125" customWidth="1"/>
    <col min="4357" max="4357" width="15.85546875" customWidth="1"/>
    <col min="4358" max="4364" width="13.5703125" customWidth="1"/>
    <col min="4365" max="4365" width="12.5703125" customWidth="1"/>
    <col min="4366" max="4366" width="11.85546875" customWidth="1"/>
    <col min="4609" max="4609" width="5.42578125" customWidth="1"/>
    <col min="4610" max="4610" width="22" customWidth="1"/>
    <col min="4611" max="4611" width="17" customWidth="1"/>
    <col min="4612" max="4612" width="13.5703125" customWidth="1"/>
    <col min="4613" max="4613" width="15.85546875" customWidth="1"/>
    <col min="4614" max="4620" width="13.5703125" customWidth="1"/>
    <col min="4621" max="4621" width="12.5703125" customWidth="1"/>
    <col min="4622" max="4622" width="11.85546875" customWidth="1"/>
    <col min="4865" max="4865" width="5.42578125" customWidth="1"/>
    <col min="4866" max="4866" width="22" customWidth="1"/>
    <col min="4867" max="4867" width="17" customWidth="1"/>
    <col min="4868" max="4868" width="13.5703125" customWidth="1"/>
    <col min="4869" max="4869" width="15.85546875" customWidth="1"/>
    <col min="4870" max="4876" width="13.5703125" customWidth="1"/>
    <col min="4877" max="4877" width="12.5703125" customWidth="1"/>
    <col min="4878" max="4878" width="11.85546875" customWidth="1"/>
    <col min="5121" max="5121" width="5.42578125" customWidth="1"/>
    <col min="5122" max="5122" width="22" customWidth="1"/>
    <col min="5123" max="5123" width="17" customWidth="1"/>
    <col min="5124" max="5124" width="13.5703125" customWidth="1"/>
    <col min="5125" max="5125" width="15.85546875" customWidth="1"/>
    <col min="5126" max="5132" width="13.5703125" customWidth="1"/>
    <col min="5133" max="5133" width="12.5703125" customWidth="1"/>
    <col min="5134" max="5134" width="11.85546875" customWidth="1"/>
    <col min="5377" max="5377" width="5.42578125" customWidth="1"/>
    <col min="5378" max="5378" width="22" customWidth="1"/>
    <col min="5379" max="5379" width="17" customWidth="1"/>
    <col min="5380" max="5380" width="13.5703125" customWidth="1"/>
    <col min="5381" max="5381" width="15.85546875" customWidth="1"/>
    <col min="5382" max="5388" width="13.5703125" customWidth="1"/>
    <col min="5389" max="5389" width="12.5703125" customWidth="1"/>
    <col min="5390" max="5390" width="11.85546875" customWidth="1"/>
    <col min="5633" max="5633" width="5.42578125" customWidth="1"/>
    <col min="5634" max="5634" width="22" customWidth="1"/>
    <col min="5635" max="5635" width="17" customWidth="1"/>
    <col min="5636" max="5636" width="13.5703125" customWidth="1"/>
    <col min="5637" max="5637" width="15.85546875" customWidth="1"/>
    <col min="5638" max="5644" width="13.5703125" customWidth="1"/>
    <col min="5645" max="5645" width="12.5703125" customWidth="1"/>
    <col min="5646" max="5646" width="11.85546875" customWidth="1"/>
    <col min="5889" max="5889" width="5.42578125" customWidth="1"/>
    <col min="5890" max="5890" width="22" customWidth="1"/>
    <col min="5891" max="5891" width="17" customWidth="1"/>
    <col min="5892" max="5892" width="13.5703125" customWidth="1"/>
    <col min="5893" max="5893" width="15.85546875" customWidth="1"/>
    <col min="5894" max="5900" width="13.5703125" customWidth="1"/>
    <col min="5901" max="5901" width="12.5703125" customWidth="1"/>
    <col min="5902" max="5902" width="11.85546875" customWidth="1"/>
    <col min="6145" max="6145" width="5.42578125" customWidth="1"/>
    <col min="6146" max="6146" width="22" customWidth="1"/>
    <col min="6147" max="6147" width="17" customWidth="1"/>
    <col min="6148" max="6148" width="13.5703125" customWidth="1"/>
    <col min="6149" max="6149" width="15.85546875" customWidth="1"/>
    <col min="6150" max="6156" width="13.5703125" customWidth="1"/>
    <col min="6157" max="6157" width="12.5703125" customWidth="1"/>
    <col min="6158" max="6158" width="11.85546875" customWidth="1"/>
    <col min="6401" max="6401" width="5.42578125" customWidth="1"/>
    <col min="6402" max="6402" width="22" customWidth="1"/>
    <col min="6403" max="6403" width="17" customWidth="1"/>
    <col min="6404" max="6404" width="13.5703125" customWidth="1"/>
    <col min="6405" max="6405" width="15.85546875" customWidth="1"/>
    <col min="6406" max="6412" width="13.5703125" customWidth="1"/>
    <col min="6413" max="6413" width="12.5703125" customWidth="1"/>
    <col min="6414" max="6414" width="11.85546875" customWidth="1"/>
    <col min="6657" max="6657" width="5.42578125" customWidth="1"/>
    <col min="6658" max="6658" width="22" customWidth="1"/>
    <col min="6659" max="6659" width="17" customWidth="1"/>
    <col min="6660" max="6660" width="13.5703125" customWidth="1"/>
    <col min="6661" max="6661" width="15.85546875" customWidth="1"/>
    <col min="6662" max="6668" width="13.5703125" customWidth="1"/>
    <col min="6669" max="6669" width="12.5703125" customWidth="1"/>
    <col min="6670" max="6670" width="11.85546875" customWidth="1"/>
    <col min="6913" max="6913" width="5.42578125" customWidth="1"/>
    <col min="6914" max="6914" width="22" customWidth="1"/>
    <col min="6915" max="6915" width="17" customWidth="1"/>
    <col min="6916" max="6916" width="13.5703125" customWidth="1"/>
    <col min="6917" max="6917" width="15.85546875" customWidth="1"/>
    <col min="6918" max="6924" width="13.5703125" customWidth="1"/>
    <col min="6925" max="6925" width="12.5703125" customWidth="1"/>
    <col min="6926" max="6926" width="11.85546875" customWidth="1"/>
    <col min="7169" max="7169" width="5.42578125" customWidth="1"/>
    <col min="7170" max="7170" width="22" customWidth="1"/>
    <col min="7171" max="7171" width="17" customWidth="1"/>
    <col min="7172" max="7172" width="13.5703125" customWidth="1"/>
    <col min="7173" max="7173" width="15.85546875" customWidth="1"/>
    <col min="7174" max="7180" width="13.5703125" customWidth="1"/>
    <col min="7181" max="7181" width="12.5703125" customWidth="1"/>
    <col min="7182" max="7182" width="11.85546875" customWidth="1"/>
    <col min="7425" max="7425" width="5.42578125" customWidth="1"/>
    <col min="7426" max="7426" width="22" customWidth="1"/>
    <col min="7427" max="7427" width="17" customWidth="1"/>
    <col min="7428" max="7428" width="13.5703125" customWidth="1"/>
    <col min="7429" max="7429" width="15.85546875" customWidth="1"/>
    <col min="7430" max="7436" width="13.5703125" customWidth="1"/>
    <col min="7437" max="7437" width="12.5703125" customWidth="1"/>
    <col min="7438" max="7438" width="11.85546875" customWidth="1"/>
    <col min="7681" max="7681" width="5.42578125" customWidth="1"/>
    <col min="7682" max="7682" width="22" customWidth="1"/>
    <col min="7683" max="7683" width="17" customWidth="1"/>
    <col min="7684" max="7684" width="13.5703125" customWidth="1"/>
    <col min="7685" max="7685" width="15.85546875" customWidth="1"/>
    <col min="7686" max="7692" width="13.5703125" customWidth="1"/>
    <col min="7693" max="7693" width="12.5703125" customWidth="1"/>
    <col min="7694" max="7694" width="11.85546875" customWidth="1"/>
    <col min="7937" max="7937" width="5.42578125" customWidth="1"/>
    <col min="7938" max="7938" width="22" customWidth="1"/>
    <col min="7939" max="7939" width="17" customWidth="1"/>
    <col min="7940" max="7940" width="13.5703125" customWidth="1"/>
    <col min="7941" max="7941" width="15.85546875" customWidth="1"/>
    <col min="7942" max="7948" width="13.5703125" customWidth="1"/>
    <col min="7949" max="7949" width="12.5703125" customWidth="1"/>
    <col min="7950" max="7950" width="11.85546875" customWidth="1"/>
    <col min="8193" max="8193" width="5.42578125" customWidth="1"/>
    <col min="8194" max="8194" width="22" customWidth="1"/>
    <col min="8195" max="8195" width="17" customWidth="1"/>
    <col min="8196" max="8196" width="13.5703125" customWidth="1"/>
    <col min="8197" max="8197" width="15.85546875" customWidth="1"/>
    <col min="8198" max="8204" width="13.5703125" customWidth="1"/>
    <col min="8205" max="8205" width="12.5703125" customWidth="1"/>
    <col min="8206" max="8206" width="11.85546875" customWidth="1"/>
    <col min="8449" max="8449" width="5.42578125" customWidth="1"/>
    <col min="8450" max="8450" width="22" customWidth="1"/>
    <col min="8451" max="8451" width="17" customWidth="1"/>
    <col min="8452" max="8452" width="13.5703125" customWidth="1"/>
    <col min="8453" max="8453" width="15.85546875" customWidth="1"/>
    <col min="8454" max="8460" width="13.5703125" customWidth="1"/>
    <col min="8461" max="8461" width="12.5703125" customWidth="1"/>
    <col min="8462" max="8462" width="11.85546875" customWidth="1"/>
    <col min="8705" max="8705" width="5.42578125" customWidth="1"/>
    <col min="8706" max="8706" width="22" customWidth="1"/>
    <col min="8707" max="8707" width="17" customWidth="1"/>
    <col min="8708" max="8708" width="13.5703125" customWidth="1"/>
    <col min="8709" max="8709" width="15.85546875" customWidth="1"/>
    <col min="8710" max="8716" width="13.5703125" customWidth="1"/>
    <col min="8717" max="8717" width="12.5703125" customWidth="1"/>
    <col min="8718" max="8718" width="11.85546875" customWidth="1"/>
    <col min="8961" max="8961" width="5.42578125" customWidth="1"/>
    <col min="8962" max="8962" width="22" customWidth="1"/>
    <col min="8963" max="8963" width="17" customWidth="1"/>
    <col min="8964" max="8964" width="13.5703125" customWidth="1"/>
    <col min="8965" max="8965" width="15.85546875" customWidth="1"/>
    <col min="8966" max="8972" width="13.5703125" customWidth="1"/>
    <col min="8973" max="8973" width="12.5703125" customWidth="1"/>
    <col min="8974" max="8974" width="11.85546875" customWidth="1"/>
    <col min="9217" max="9217" width="5.42578125" customWidth="1"/>
    <col min="9218" max="9218" width="22" customWidth="1"/>
    <col min="9219" max="9219" width="17" customWidth="1"/>
    <col min="9220" max="9220" width="13.5703125" customWidth="1"/>
    <col min="9221" max="9221" width="15.85546875" customWidth="1"/>
    <col min="9222" max="9228" width="13.5703125" customWidth="1"/>
    <col min="9229" max="9229" width="12.5703125" customWidth="1"/>
    <col min="9230" max="9230" width="11.85546875" customWidth="1"/>
    <col min="9473" max="9473" width="5.42578125" customWidth="1"/>
    <col min="9474" max="9474" width="22" customWidth="1"/>
    <col min="9475" max="9475" width="17" customWidth="1"/>
    <col min="9476" max="9476" width="13.5703125" customWidth="1"/>
    <col min="9477" max="9477" width="15.85546875" customWidth="1"/>
    <col min="9478" max="9484" width="13.5703125" customWidth="1"/>
    <col min="9485" max="9485" width="12.5703125" customWidth="1"/>
    <col min="9486" max="9486" width="11.85546875" customWidth="1"/>
    <col min="9729" max="9729" width="5.42578125" customWidth="1"/>
    <col min="9730" max="9730" width="22" customWidth="1"/>
    <col min="9731" max="9731" width="17" customWidth="1"/>
    <col min="9732" max="9732" width="13.5703125" customWidth="1"/>
    <col min="9733" max="9733" width="15.85546875" customWidth="1"/>
    <col min="9734" max="9740" width="13.5703125" customWidth="1"/>
    <col min="9741" max="9741" width="12.5703125" customWidth="1"/>
    <col min="9742" max="9742" width="11.85546875" customWidth="1"/>
    <col min="9985" max="9985" width="5.42578125" customWidth="1"/>
    <col min="9986" max="9986" width="22" customWidth="1"/>
    <col min="9987" max="9987" width="17" customWidth="1"/>
    <col min="9988" max="9988" width="13.5703125" customWidth="1"/>
    <col min="9989" max="9989" width="15.85546875" customWidth="1"/>
    <col min="9990" max="9996" width="13.5703125" customWidth="1"/>
    <col min="9997" max="9997" width="12.5703125" customWidth="1"/>
    <col min="9998" max="9998" width="11.85546875" customWidth="1"/>
    <col min="10241" max="10241" width="5.42578125" customWidth="1"/>
    <col min="10242" max="10242" width="22" customWidth="1"/>
    <col min="10243" max="10243" width="17" customWidth="1"/>
    <col min="10244" max="10244" width="13.5703125" customWidth="1"/>
    <col min="10245" max="10245" width="15.85546875" customWidth="1"/>
    <col min="10246" max="10252" width="13.5703125" customWidth="1"/>
    <col min="10253" max="10253" width="12.5703125" customWidth="1"/>
    <col min="10254" max="10254" width="11.85546875" customWidth="1"/>
    <col min="10497" max="10497" width="5.42578125" customWidth="1"/>
    <col min="10498" max="10498" width="22" customWidth="1"/>
    <col min="10499" max="10499" width="17" customWidth="1"/>
    <col min="10500" max="10500" width="13.5703125" customWidth="1"/>
    <col min="10501" max="10501" width="15.85546875" customWidth="1"/>
    <col min="10502" max="10508" width="13.5703125" customWidth="1"/>
    <col min="10509" max="10509" width="12.5703125" customWidth="1"/>
    <col min="10510" max="10510" width="11.85546875" customWidth="1"/>
    <col min="10753" max="10753" width="5.42578125" customWidth="1"/>
    <col min="10754" max="10754" width="22" customWidth="1"/>
    <col min="10755" max="10755" width="17" customWidth="1"/>
    <col min="10756" max="10756" width="13.5703125" customWidth="1"/>
    <col min="10757" max="10757" width="15.85546875" customWidth="1"/>
    <col min="10758" max="10764" width="13.5703125" customWidth="1"/>
    <col min="10765" max="10765" width="12.5703125" customWidth="1"/>
    <col min="10766" max="10766" width="11.85546875" customWidth="1"/>
    <col min="11009" max="11009" width="5.42578125" customWidth="1"/>
    <col min="11010" max="11010" width="22" customWidth="1"/>
    <col min="11011" max="11011" width="17" customWidth="1"/>
    <col min="11012" max="11012" width="13.5703125" customWidth="1"/>
    <col min="11013" max="11013" width="15.85546875" customWidth="1"/>
    <col min="11014" max="11020" width="13.5703125" customWidth="1"/>
    <col min="11021" max="11021" width="12.5703125" customWidth="1"/>
    <col min="11022" max="11022" width="11.85546875" customWidth="1"/>
    <col min="11265" max="11265" width="5.42578125" customWidth="1"/>
    <col min="11266" max="11266" width="22" customWidth="1"/>
    <col min="11267" max="11267" width="17" customWidth="1"/>
    <col min="11268" max="11268" width="13.5703125" customWidth="1"/>
    <col min="11269" max="11269" width="15.85546875" customWidth="1"/>
    <col min="11270" max="11276" width="13.5703125" customWidth="1"/>
    <col min="11277" max="11277" width="12.5703125" customWidth="1"/>
    <col min="11278" max="11278" width="11.85546875" customWidth="1"/>
    <col min="11521" max="11521" width="5.42578125" customWidth="1"/>
    <col min="11522" max="11522" width="22" customWidth="1"/>
    <col min="11523" max="11523" width="17" customWidth="1"/>
    <col min="11524" max="11524" width="13.5703125" customWidth="1"/>
    <col min="11525" max="11525" width="15.85546875" customWidth="1"/>
    <col min="11526" max="11532" width="13.5703125" customWidth="1"/>
    <col min="11533" max="11533" width="12.5703125" customWidth="1"/>
    <col min="11534" max="11534" width="11.85546875" customWidth="1"/>
    <col min="11777" max="11777" width="5.42578125" customWidth="1"/>
    <col min="11778" max="11778" width="22" customWidth="1"/>
    <col min="11779" max="11779" width="17" customWidth="1"/>
    <col min="11780" max="11780" width="13.5703125" customWidth="1"/>
    <col min="11781" max="11781" width="15.85546875" customWidth="1"/>
    <col min="11782" max="11788" width="13.5703125" customWidth="1"/>
    <col min="11789" max="11789" width="12.5703125" customWidth="1"/>
    <col min="11790" max="11790" width="11.85546875" customWidth="1"/>
    <col min="12033" max="12033" width="5.42578125" customWidth="1"/>
    <col min="12034" max="12034" width="22" customWidth="1"/>
    <col min="12035" max="12035" width="17" customWidth="1"/>
    <col min="12036" max="12036" width="13.5703125" customWidth="1"/>
    <col min="12037" max="12037" width="15.85546875" customWidth="1"/>
    <col min="12038" max="12044" width="13.5703125" customWidth="1"/>
    <col min="12045" max="12045" width="12.5703125" customWidth="1"/>
    <col min="12046" max="12046" width="11.85546875" customWidth="1"/>
    <col min="12289" max="12289" width="5.42578125" customWidth="1"/>
    <col min="12290" max="12290" width="22" customWidth="1"/>
    <col min="12291" max="12291" width="17" customWidth="1"/>
    <col min="12292" max="12292" width="13.5703125" customWidth="1"/>
    <col min="12293" max="12293" width="15.85546875" customWidth="1"/>
    <col min="12294" max="12300" width="13.5703125" customWidth="1"/>
    <col min="12301" max="12301" width="12.5703125" customWidth="1"/>
    <col min="12302" max="12302" width="11.85546875" customWidth="1"/>
    <col min="12545" max="12545" width="5.42578125" customWidth="1"/>
    <col min="12546" max="12546" width="22" customWidth="1"/>
    <col min="12547" max="12547" width="17" customWidth="1"/>
    <col min="12548" max="12548" width="13.5703125" customWidth="1"/>
    <col min="12549" max="12549" width="15.85546875" customWidth="1"/>
    <col min="12550" max="12556" width="13.5703125" customWidth="1"/>
    <col min="12557" max="12557" width="12.5703125" customWidth="1"/>
    <col min="12558" max="12558" width="11.85546875" customWidth="1"/>
    <col min="12801" max="12801" width="5.42578125" customWidth="1"/>
    <col min="12802" max="12802" width="22" customWidth="1"/>
    <col min="12803" max="12803" width="17" customWidth="1"/>
    <col min="12804" max="12804" width="13.5703125" customWidth="1"/>
    <col min="12805" max="12805" width="15.85546875" customWidth="1"/>
    <col min="12806" max="12812" width="13.5703125" customWidth="1"/>
    <col min="12813" max="12813" width="12.5703125" customWidth="1"/>
    <col min="12814" max="12814" width="11.85546875" customWidth="1"/>
    <col min="13057" max="13057" width="5.42578125" customWidth="1"/>
    <col min="13058" max="13058" width="22" customWidth="1"/>
    <col min="13059" max="13059" width="17" customWidth="1"/>
    <col min="13060" max="13060" width="13.5703125" customWidth="1"/>
    <col min="13061" max="13061" width="15.85546875" customWidth="1"/>
    <col min="13062" max="13068" width="13.5703125" customWidth="1"/>
    <col min="13069" max="13069" width="12.5703125" customWidth="1"/>
    <col min="13070" max="13070" width="11.85546875" customWidth="1"/>
    <col min="13313" max="13313" width="5.42578125" customWidth="1"/>
    <col min="13314" max="13314" width="22" customWidth="1"/>
    <col min="13315" max="13315" width="17" customWidth="1"/>
    <col min="13316" max="13316" width="13.5703125" customWidth="1"/>
    <col min="13317" max="13317" width="15.85546875" customWidth="1"/>
    <col min="13318" max="13324" width="13.5703125" customWidth="1"/>
    <col min="13325" max="13325" width="12.5703125" customWidth="1"/>
    <col min="13326" max="13326" width="11.85546875" customWidth="1"/>
    <col min="13569" max="13569" width="5.42578125" customWidth="1"/>
    <col min="13570" max="13570" width="22" customWidth="1"/>
    <col min="13571" max="13571" width="17" customWidth="1"/>
    <col min="13572" max="13572" width="13.5703125" customWidth="1"/>
    <col min="13573" max="13573" width="15.85546875" customWidth="1"/>
    <col min="13574" max="13580" width="13.5703125" customWidth="1"/>
    <col min="13581" max="13581" width="12.5703125" customWidth="1"/>
    <col min="13582" max="13582" width="11.85546875" customWidth="1"/>
    <col min="13825" max="13825" width="5.42578125" customWidth="1"/>
    <col min="13826" max="13826" width="22" customWidth="1"/>
    <col min="13827" max="13827" width="17" customWidth="1"/>
    <col min="13828" max="13828" width="13.5703125" customWidth="1"/>
    <col min="13829" max="13829" width="15.85546875" customWidth="1"/>
    <col min="13830" max="13836" width="13.5703125" customWidth="1"/>
    <col min="13837" max="13837" width="12.5703125" customWidth="1"/>
    <col min="13838" max="13838" width="11.85546875" customWidth="1"/>
    <col min="14081" max="14081" width="5.42578125" customWidth="1"/>
    <col min="14082" max="14082" width="22" customWidth="1"/>
    <col min="14083" max="14083" width="17" customWidth="1"/>
    <col min="14084" max="14084" width="13.5703125" customWidth="1"/>
    <col min="14085" max="14085" width="15.85546875" customWidth="1"/>
    <col min="14086" max="14092" width="13.5703125" customWidth="1"/>
    <col min="14093" max="14093" width="12.5703125" customWidth="1"/>
    <col min="14094" max="14094" width="11.85546875" customWidth="1"/>
    <col min="14337" max="14337" width="5.42578125" customWidth="1"/>
    <col min="14338" max="14338" width="22" customWidth="1"/>
    <col min="14339" max="14339" width="17" customWidth="1"/>
    <col min="14340" max="14340" width="13.5703125" customWidth="1"/>
    <col min="14341" max="14341" width="15.85546875" customWidth="1"/>
    <col min="14342" max="14348" width="13.5703125" customWidth="1"/>
    <col min="14349" max="14349" width="12.5703125" customWidth="1"/>
    <col min="14350" max="14350" width="11.85546875" customWidth="1"/>
    <col min="14593" max="14593" width="5.42578125" customWidth="1"/>
    <col min="14594" max="14594" width="22" customWidth="1"/>
    <col min="14595" max="14595" width="17" customWidth="1"/>
    <col min="14596" max="14596" width="13.5703125" customWidth="1"/>
    <col min="14597" max="14597" width="15.85546875" customWidth="1"/>
    <col min="14598" max="14604" width="13.5703125" customWidth="1"/>
    <col min="14605" max="14605" width="12.5703125" customWidth="1"/>
    <col min="14606" max="14606" width="11.85546875" customWidth="1"/>
    <col min="14849" max="14849" width="5.42578125" customWidth="1"/>
    <col min="14850" max="14850" width="22" customWidth="1"/>
    <col min="14851" max="14851" width="17" customWidth="1"/>
    <col min="14852" max="14852" width="13.5703125" customWidth="1"/>
    <col min="14853" max="14853" width="15.85546875" customWidth="1"/>
    <col min="14854" max="14860" width="13.5703125" customWidth="1"/>
    <col min="14861" max="14861" width="12.5703125" customWidth="1"/>
    <col min="14862" max="14862" width="11.85546875" customWidth="1"/>
    <col min="15105" max="15105" width="5.42578125" customWidth="1"/>
    <col min="15106" max="15106" width="22" customWidth="1"/>
    <col min="15107" max="15107" width="17" customWidth="1"/>
    <col min="15108" max="15108" width="13.5703125" customWidth="1"/>
    <col min="15109" max="15109" width="15.85546875" customWidth="1"/>
    <col min="15110" max="15116" width="13.5703125" customWidth="1"/>
    <col min="15117" max="15117" width="12.5703125" customWidth="1"/>
    <col min="15118" max="15118" width="11.85546875" customWidth="1"/>
    <col min="15361" max="15361" width="5.42578125" customWidth="1"/>
    <col min="15362" max="15362" width="22" customWidth="1"/>
    <col min="15363" max="15363" width="17" customWidth="1"/>
    <col min="15364" max="15364" width="13.5703125" customWidth="1"/>
    <col min="15365" max="15365" width="15.85546875" customWidth="1"/>
    <col min="15366" max="15372" width="13.5703125" customWidth="1"/>
    <col min="15373" max="15373" width="12.5703125" customWidth="1"/>
    <col min="15374" max="15374" width="11.85546875" customWidth="1"/>
    <col min="15617" max="15617" width="5.42578125" customWidth="1"/>
    <col min="15618" max="15618" width="22" customWidth="1"/>
    <col min="15619" max="15619" width="17" customWidth="1"/>
    <col min="15620" max="15620" width="13.5703125" customWidth="1"/>
    <col min="15621" max="15621" width="15.85546875" customWidth="1"/>
    <col min="15622" max="15628" width="13.5703125" customWidth="1"/>
    <col min="15629" max="15629" width="12.5703125" customWidth="1"/>
    <col min="15630" max="15630" width="11.85546875" customWidth="1"/>
    <col min="15873" max="15873" width="5.42578125" customWidth="1"/>
    <col min="15874" max="15874" width="22" customWidth="1"/>
    <col min="15875" max="15875" width="17" customWidth="1"/>
    <col min="15876" max="15876" width="13.5703125" customWidth="1"/>
    <col min="15877" max="15877" width="15.85546875" customWidth="1"/>
    <col min="15878" max="15884" width="13.5703125" customWidth="1"/>
    <col min="15885" max="15885" width="12.5703125" customWidth="1"/>
    <col min="15886" max="15886" width="11.85546875" customWidth="1"/>
    <col min="16129" max="16129" width="5.42578125" customWidth="1"/>
    <col min="16130" max="16130" width="22" customWidth="1"/>
    <col min="16131" max="16131" width="17" customWidth="1"/>
    <col min="16132" max="16132" width="13.5703125" customWidth="1"/>
    <col min="16133" max="16133" width="15.85546875" customWidth="1"/>
    <col min="16134" max="16140" width="13.5703125" customWidth="1"/>
    <col min="16141" max="16141" width="12.5703125" customWidth="1"/>
    <col min="16142" max="16142" width="11.85546875" customWidth="1"/>
  </cols>
  <sheetData>
    <row r="1" spans="1:15" ht="15.75" x14ac:dyDescent="0.25">
      <c r="A1" s="1"/>
      <c r="B1" s="2" t="s">
        <v>50</v>
      </c>
      <c r="C1" s="3"/>
      <c r="D1" s="4" t="s">
        <v>101</v>
      </c>
      <c r="E1" s="5"/>
      <c r="F1" s="6"/>
      <c r="G1" s="66" t="s">
        <v>96</v>
      </c>
      <c r="H1" s="66"/>
      <c r="I1" s="66"/>
      <c r="J1" s="67"/>
      <c r="K1" s="67"/>
      <c r="L1" s="67"/>
      <c r="M1" s="74"/>
      <c r="N1" s="6"/>
      <c r="O1" s="10"/>
    </row>
    <row r="2" spans="1:15" ht="15.75" x14ac:dyDescent="0.25">
      <c r="A2" s="15"/>
      <c r="B2" s="72"/>
      <c r="C2" s="10"/>
      <c r="D2" s="71"/>
      <c r="E2" s="9"/>
      <c r="G2" s="73"/>
      <c r="H2" s="73"/>
      <c r="I2" s="73"/>
      <c r="J2" s="21"/>
      <c r="O2" s="10"/>
    </row>
    <row r="3" spans="1:15" ht="15.75" thickBot="1" x14ac:dyDescent="0.3">
      <c r="A3" s="17"/>
      <c r="B3" s="205" t="s">
        <v>100</v>
      </c>
      <c r="C3" s="7"/>
      <c r="D3" s="8" t="s">
        <v>102</v>
      </c>
      <c r="F3" s="9"/>
      <c r="G3" s="9"/>
      <c r="H3" s="9"/>
      <c r="I3" s="9"/>
      <c r="J3" s="9"/>
      <c r="K3" s="9"/>
      <c r="L3" s="9"/>
      <c r="N3" s="146"/>
      <c r="O3" s="147"/>
    </row>
    <row r="4" spans="1:15" ht="15.75" thickBot="1" x14ac:dyDescent="0.3">
      <c r="A4" s="23"/>
      <c r="B4" s="24" t="s">
        <v>0</v>
      </c>
      <c r="C4" s="25" t="s">
        <v>52</v>
      </c>
      <c r="D4" s="26"/>
      <c r="E4" s="11"/>
      <c r="F4" s="11"/>
      <c r="G4" s="248" t="s">
        <v>53</v>
      </c>
      <c r="H4" s="248"/>
      <c r="I4" s="248"/>
      <c r="J4" s="248"/>
      <c r="K4" s="249"/>
      <c r="L4" s="249"/>
      <c r="M4" s="249"/>
      <c r="N4" s="250"/>
    </row>
    <row r="5" spans="1:15" ht="15.75" thickBot="1" x14ac:dyDescent="0.3">
      <c r="A5" s="12" t="s">
        <v>54</v>
      </c>
      <c r="B5" s="27"/>
      <c r="C5" s="28"/>
      <c r="D5" s="13">
        <v>1</v>
      </c>
      <c r="E5" s="13">
        <v>2</v>
      </c>
      <c r="F5" s="13">
        <v>3</v>
      </c>
      <c r="G5" s="13">
        <v>4</v>
      </c>
      <c r="H5" s="13">
        <v>5</v>
      </c>
      <c r="I5" s="13">
        <v>6</v>
      </c>
      <c r="J5" s="13">
        <v>7</v>
      </c>
      <c r="K5" s="238">
        <v>8</v>
      </c>
      <c r="L5" s="238">
        <v>9</v>
      </c>
      <c r="M5" s="238">
        <v>10</v>
      </c>
      <c r="N5" s="238">
        <v>11</v>
      </c>
      <c r="O5" s="238">
        <v>12</v>
      </c>
    </row>
    <row r="6" spans="1:15" ht="18.75" x14ac:dyDescent="0.25">
      <c r="A6" s="29" t="s">
        <v>6</v>
      </c>
      <c r="B6" s="30" t="s">
        <v>55</v>
      </c>
      <c r="C6" s="31" t="s">
        <v>56</v>
      </c>
      <c r="D6" s="84"/>
      <c r="E6" s="102"/>
      <c r="F6" s="103"/>
      <c r="G6" s="197"/>
      <c r="H6" s="233">
        <f>'Lønnstabell 01.06.2026'!I4</f>
        <v>939198</v>
      </c>
      <c r="I6" s="233">
        <f>'Lønnstabell 01.06.2026'!J4</f>
        <v>944198</v>
      </c>
      <c r="J6" s="233">
        <f>'Lønnstabell 01.06.2026'!K4</f>
        <v>949198</v>
      </c>
      <c r="K6" s="233">
        <f>'Lønnstabell 01.06.2026'!L4</f>
        <v>954198</v>
      </c>
      <c r="L6" s="233">
        <f>'Lønnstabell 01.06.2026'!M4</f>
        <v>959198</v>
      </c>
      <c r="M6" s="233">
        <f>'Lønnstabell 01.06.2026'!N4</f>
        <v>964198</v>
      </c>
      <c r="N6" s="233">
        <f>'Lønnstabell 01.06.2026'!O4</f>
        <v>969198</v>
      </c>
      <c r="O6" s="233">
        <f>'Lønnstabell 01.06.2026'!P4</f>
        <v>974198</v>
      </c>
    </row>
    <row r="7" spans="1:15" x14ac:dyDescent="0.25">
      <c r="A7" s="32"/>
      <c r="B7" s="33" t="s">
        <v>57</v>
      </c>
      <c r="C7" s="206" t="s">
        <v>58</v>
      </c>
      <c r="D7" s="16"/>
      <c r="E7" s="207"/>
      <c r="F7" s="207"/>
      <c r="G7" s="198"/>
      <c r="H7" s="227">
        <v>1</v>
      </c>
      <c r="I7" s="227">
        <v>1</v>
      </c>
      <c r="J7" s="227">
        <v>1</v>
      </c>
      <c r="K7" s="227">
        <v>1</v>
      </c>
      <c r="L7" s="227">
        <v>1</v>
      </c>
      <c r="M7" s="227">
        <v>1</v>
      </c>
      <c r="N7" s="227">
        <v>1</v>
      </c>
      <c r="O7" s="227">
        <v>1</v>
      </c>
    </row>
    <row r="8" spans="1:15" x14ac:dyDescent="0.25">
      <c r="A8" s="32"/>
      <c r="B8" s="33" t="s">
        <v>59</v>
      </c>
      <c r="C8" s="206" t="s">
        <v>60</v>
      </c>
      <c r="D8" s="16"/>
      <c r="E8" s="207"/>
      <c r="F8" s="207"/>
      <c r="G8" s="198"/>
      <c r="H8" s="207">
        <f>((H6)-(H7*146))/12</f>
        <v>78254.333333333328</v>
      </c>
      <c r="I8" s="207">
        <f t="shared" ref="I8:O8" si="0">((I6)-(I7*146))/12</f>
        <v>78671</v>
      </c>
      <c r="J8" s="207">
        <f t="shared" si="0"/>
        <v>79087.666666666672</v>
      </c>
      <c r="K8" s="207">
        <f t="shared" si="0"/>
        <v>79504.333333333328</v>
      </c>
      <c r="L8" s="207">
        <f t="shared" si="0"/>
        <v>79921</v>
      </c>
      <c r="M8" s="207">
        <f t="shared" si="0"/>
        <v>80337.666666666672</v>
      </c>
      <c r="N8" s="207">
        <f t="shared" si="0"/>
        <v>80754.333333333328</v>
      </c>
      <c r="O8" s="207">
        <f t="shared" si="0"/>
        <v>81171</v>
      </c>
    </row>
    <row r="9" spans="1:15" x14ac:dyDescent="0.25">
      <c r="A9" s="32"/>
      <c r="B9" s="33" t="s">
        <v>5</v>
      </c>
      <c r="C9" s="206" t="s">
        <v>61</v>
      </c>
      <c r="D9" s="16"/>
      <c r="E9" s="207"/>
      <c r="F9" s="207"/>
      <c r="G9" s="198"/>
      <c r="H9" s="207">
        <f t="shared" ref="H9" si="1">H8*47.08/52.14</f>
        <v>70660.030942334735</v>
      </c>
      <c r="I9" s="207">
        <f>I8*47.08/52.14</f>
        <v>71036.261603375518</v>
      </c>
      <c r="J9" s="207">
        <f>J8*47.08/52.14</f>
        <v>71412.492264416316</v>
      </c>
      <c r="K9" s="207">
        <f>K8*47.08/52.14</f>
        <v>71788.722925457099</v>
      </c>
      <c r="L9" s="207">
        <f t="shared" ref="L9:O9" si="2">L8*47.08/52.14</f>
        <v>72164.953586497882</v>
      </c>
      <c r="M9" s="207">
        <f t="shared" si="2"/>
        <v>72541.18424753868</v>
      </c>
      <c r="N9" s="207">
        <f t="shared" si="2"/>
        <v>72917.414908579463</v>
      </c>
      <c r="O9" s="207">
        <f t="shared" si="2"/>
        <v>73293.645569620247</v>
      </c>
    </row>
    <row r="10" spans="1:15" x14ac:dyDescent="0.25">
      <c r="A10" s="32"/>
      <c r="B10" s="33" t="s">
        <v>62</v>
      </c>
      <c r="C10" s="208" t="s">
        <v>63</v>
      </c>
      <c r="D10" s="16"/>
      <c r="E10" s="209"/>
      <c r="F10" s="209"/>
      <c r="G10" s="199"/>
      <c r="H10" s="209">
        <f t="shared" ref="H10" si="3">H6/1752</f>
        <v>536.07191780821915</v>
      </c>
      <c r="I10" s="209">
        <f>I6/1752</f>
        <v>538.92579908675805</v>
      </c>
      <c r="J10" s="209">
        <f>J6/1752</f>
        <v>541.77968036529683</v>
      </c>
      <c r="K10" s="209">
        <f>K6/1752</f>
        <v>544.63356164383561</v>
      </c>
      <c r="L10" s="209">
        <f t="shared" ref="L10:O10" si="4">L6/1752</f>
        <v>547.48744292237438</v>
      </c>
      <c r="M10" s="209">
        <f t="shared" si="4"/>
        <v>550.34132420091328</v>
      </c>
      <c r="N10" s="209">
        <f t="shared" si="4"/>
        <v>553.19520547945206</v>
      </c>
      <c r="O10" s="209">
        <f t="shared" si="4"/>
        <v>556.04908675799084</v>
      </c>
    </row>
    <row r="11" spans="1:15" x14ac:dyDescent="0.25">
      <c r="A11" s="32"/>
      <c r="B11" s="40" t="s">
        <v>64</v>
      </c>
      <c r="C11" s="208" t="s">
        <v>65</v>
      </c>
      <c r="D11" s="16"/>
      <c r="E11" s="209"/>
      <c r="F11" s="209"/>
      <c r="G11" s="199"/>
      <c r="H11" s="209">
        <f t="shared" ref="H11" si="5">H6/1752*1.65</f>
        <v>884.5186643835616</v>
      </c>
      <c r="I11" s="209">
        <f>I6/1752*1.65</f>
        <v>889.22756849315078</v>
      </c>
      <c r="J11" s="209">
        <f>J6/1752*1.65</f>
        <v>893.93647260273974</v>
      </c>
      <c r="K11" s="209">
        <f>K6/1752*1.65</f>
        <v>898.6453767123287</v>
      </c>
      <c r="L11" s="209">
        <f t="shared" ref="L11:O11" si="6">L6/1752*1.65</f>
        <v>903.35428082191765</v>
      </c>
      <c r="M11" s="209">
        <f t="shared" si="6"/>
        <v>908.06318493150684</v>
      </c>
      <c r="N11" s="209">
        <f t="shared" si="6"/>
        <v>912.7720890410958</v>
      </c>
      <c r="O11" s="209">
        <f t="shared" si="6"/>
        <v>917.48099315068487</v>
      </c>
    </row>
    <row r="12" spans="1:15" ht="18" x14ac:dyDescent="0.25">
      <c r="A12" s="32"/>
      <c r="B12" s="33" t="s">
        <v>97</v>
      </c>
      <c r="C12" s="208" t="s">
        <v>66</v>
      </c>
      <c r="D12" s="16"/>
      <c r="E12" s="209"/>
      <c r="F12" s="209"/>
      <c r="G12" s="199"/>
      <c r="H12" s="209">
        <f t="shared" ref="H12" si="7">H8/162.5</f>
        <v>481.56512820512819</v>
      </c>
      <c r="I12" s="209">
        <f>I8/162.5</f>
        <v>484.12923076923079</v>
      </c>
      <c r="J12" s="209">
        <f>J8/162.5</f>
        <v>486.69333333333338</v>
      </c>
      <c r="K12" s="209">
        <f>K8/162.5</f>
        <v>489.25743589743587</v>
      </c>
      <c r="L12" s="209">
        <f t="shared" ref="L12:O12" si="8">L8/162.5</f>
        <v>491.82153846153847</v>
      </c>
      <c r="M12" s="209">
        <f t="shared" si="8"/>
        <v>494.38564102564106</v>
      </c>
      <c r="N12" s="209">
        <f t="shared" si="8"/>
        <v>496.94974358974355</v>
      </c>
      <c r="O12" s="209">
        <f t="shared" si="8"/>
        <v>499.51384615384615</v>
      </c>
    </row>
    <row r="13" spans="1:15" x14ac:dyDescent="0.25">
      <c r="A13" s="32"/>
      <c r="B13" s="33" t="s">
        <v>98</v>
      </c>
      <c r="C13" s="208" t="s">
        <v>68</v>
      </c>
      <c r="D13" s="16"/>
      <c r="E13" s="209"/>
      <c r="F13" s="209"/>
      <c r="G13" s="199"/>
      <c r="H13" s="209">
        <f t="shared" ref="H13" si="9">H12*1.5</f>
        <v>722.34769230769234</v>
      </c>
      <c r="I13" s="209">
        <f>I12*1.5</f>
        <v>726.19384615384615</v>
      </c>
      <c r="J13" s="209">
        <f>J12*1.5</f>
        <v>730.04000000000008</v>
      </c>
      <c r="K13" s="209">
        <f>K12*1.5</f>
        <v>733.88615384615377</v>
      </c>
      <c r="L13" s="209">
        <f t="shared" ref="L13:O13" si="10">L12*1.5</f>
        <v>737.7323076923077</v>
      </c>
      <c r="M13" s="209">
        <f t="shared" si="10"/>
        <v>741.57846153846162</v>
      </c>
      <c r="N13" s="209">
        <f t="shared" si="10"/>
        <v>745.42461538461532</v>
      </c>
      <c r="O13" s="209">
        <f t="shared" si="10"/>
        <v>749.27076923076925</v>
      </c>
    </row>
    <row r="14" spans="1:15" ht="15.75" thickBot="1" x14ac:dyDescent="0.3">
      <c r="A14" s="32"/>
      <c r="B14" s="41"/>
      <c r="C14" s="210" t="s">
        <v>70</v>
      </c>
      <c r="D14" s="83"/>
      <c r="E14" s="211"/>
      <c r="F14" s="211"/>
      <c r="G14" s="200"/>
      <c r="H14" s="211">
        <f t="shared" ref="H14" si="11">H12*2</f>
        <v>963.13025641025638</v>
      </c>
      <c r="I14" s="211">
        <f>I12*2</f>
        <v>968.25846153846157</v>
      </c>
      <c r="J14" s="211">
        <f>J12*2</f>
        <v>973.38666666666677</v>
      </c>
      <c r="K14" s="211">
        <f>K12*2</f>
        <v>978.51487179487174</v>
      </c>
      <c r="L14" s="211">
        <f t="shared" ref="L14:O14" si="12">L12*2</f>
        <v>983.64307692307693</v>
      </c>
      <c r="M14" s="211">
        <f t="shared" si="12"/>
        <v>988.77128205128213</v>
      </c>
      <c r="N14" s="211">
        <f t="shared" si="12"/>
        <v>993.8994871794871</v>
      </c>
      <c r="O14" s="211">
        <f t="shared" si="12"/>
        <v>999.02769230769229</v>
      </c>
    </row>
    <row r="15" spans="1:15" ht="19.5" x14ac:dyDescent="0.25">
      <c r="A15" s="44" t="s">
        <v>16</v>
      </c>
      <c r="B15" s="45" t="s">
        <v>71</v>
      </c>
      <c r="C15" s="31" t="s">
        <v>56</v>
      </c>
      <c r="D15" s="101"/>
      <c r="E15" s="104"/>
      <c r="F15" s="197"/>
      <c r="G15" s="103"/>
      <c r="H15" s="233">
        <f>'Lønnstabell 01.06.2026'!I12</f>
        <v>911381</v>
      </c>
      <c r="I15" s="233">
        <f>'Lønnstabell 01.06.2026'!J12</f>
        <v>916381</v>
      </c>
      <c r="J15" s="233">
        <f>'Lønnstabell 01.06.2026'!K12</f>
        <v>921381</v>
      </c>
      <c r="K15" s="233">
        <f>'Lønnstabell 01.06.2026'!L12</f>
        <v>926381</v>
      </c>
      <c r="L15" s="233">
        <f>'Lønnstabell 01.06.2026'!M12</f>
        <v>931381</v>
      </c>
      <c r="M15" s="233">
        <f>'Lønnstabell 01.06.2026'!N12</f>
        <v>936381</v>
      </c>
      <c r="N15" s="233">
        <f>'Lønnstabell 01.06.2026'!O12</f>
        <v>941381</v>
      </c>
      <c r="O15" s="233">
        <f>'Lønnstabell 01.06.2026'!P12</f>
        <v>946381</v>
      </c>
    </row>
    <row r="16" spans="1:15" x14ac:dyDescent="0.25">
      <c r="A16" s="46"/>
      <c r="B16" s="45" t="s">
        <v>72</v>
      </c>
      <c r="C16" s="206" t="s">
        <v>58</v>
      </c>
      <c r="D16" s="213"/>
      <c r="E16" s="228"/>
      <c r="F16" s="201"/>
      <c r="G16" s="229"/>
      <c r="H16" s="229">
        <v>1</v>
      </c>
      <c r="I16" s="229">
        <v>1</v>
      </c>
      <c r="J16" s="229">
        <v>1</v>
      </c>
      <c r="K16" s="229">
        <v>1</v>
      </c>
      <c r="L16" s="229">
        <v>1</v>
      </c>
      <c r="M16" s="229">
        <v>1</v>
      </c>
      <c r="N16" s="229">
        <v>1</v>
      </c>
      <c r="O16" s="229">
        <v>1</v>
      </c>
    </row>
    <row r="17" spans="1:15" x14ac:dyDescent="0.25">
      <c r="A17" s="46"/>
      <c r="B17" s="45" t="s">
        <v>73</v>
      </c>
      <c r="C17" s="206" t="s">
        <v>60</v>
      </c>
      <c r="D17" s="213"/>
      <c r="E17" s="224"/>
      <c r="F17" s="201"/>
      <c r="G17" s="224"/>
      <c r="H17" s="213">
        <f t="shared" ref="H17" si="13">((H15)-(H16*146))/12</f>
        <v>75936.25</v>
      </c>
      <c r="I17" s="213">
        <f>((I15)-(I16*146))/12</f>
        <v>76352.916666666672</v>
      </c>
      <c r="J17" s="213">
        <f>((J15)-(J16*146))/12</f>
        <v>76769.583333333328</v>
      </c>
      <c r="K17" s="213">
        <f>((K15)-(K16*146))/12</f>
        <v>77186.25</v>
      </c>
      <c r="L17" s="213">
        <f t="shared" ref="L17:O17" si="14">((L15)-(L16*146))/12</f>
        <v>77602.916666666672</v>
      </c>
      <c r="M17" s="213">
        <f t="shared" si="14"/>
        <v>78019.583333333328</v>
      </c>
      <c r="N17" s="213">
        <f t="shared" si="14"/>
        <v>78436.25</v>
      </c>
      <c r="O17" s="213">
        <f t="shared" si="14"/>
        <v>78852.916666666672</v>
      </c>
    </row>
    <row r="18" spans="1:15" x14ac:dyDescent="0.25">
      <c r="A18" s="46"/>
      <c r="B18" s="45" t="s">
        <v>74</v>
      </c>
      <c r="C18" s="206" t="s">
        <v>61</v>
      </c>
      <c r="D18" s="213"/>
      <c r="E18" s="224"/>
      <c r="F18" s="201"/>
      <c r="G18" s="224"/>
      <c r="H18" s="213">
        <f t="shared" ref="H18" si="15">H17*47.08/52.14</f>
        <v>68566.909282700421</v>
      </c>
      <c r="I18" s="213">
        <f>I17*47.08/52.14</f>
        <v>68943.139943741218</v>
      </c>
      <c r="J18" s="213">
        <f>J17*47.08/52.14</f>
        <v>69319.370604781987</v>
      </c>
      <c r="K18" s="213">
        <f>K17*47.08/52.14</f>
        <v>69695.601265822785</v>
      </c>
      <c r="L18" s="213">
        <f t="shared" ref="L18:O18" si="16">L17*47.08/52.14</f>
        <v>70071.831926863582</v>
      </c>
      <c r="M18" s="213">
        <f t="shared" si="16"/>
        <v>70448.062587904351</v>
      </c>
      <c r="N18" s="213">
        <f t="shared" si="16"/>
        <v>70824.293248945149</v>
      </c>
      <c r="O18" s="213">
        <f t="shared" si="16"/>
        <v>71200.523909985932</v>
      </c>
    </row>
    <row r="19" spans="1:15" x14ac:dyDescent="0.25">
      <c r="A19" s="46"/>
      <c r="B19" s="45" t="s">
        <v>75</v>
      </c>
      <c r="C19" s="208" t="s">
        <v>63</v>
      </c>
      <c r="D19" s="216"/>
      <c r="E19" s="217"/>
      <c r="F19" s="202"/>
      <c r="G19" s="217"/>
      <c r="H19" s="216">
        <f t="shared" ref="H19" si="17">H15/1752</f>
        <v>520.19463470319636</v>
      </c>
      <c r="I19" s="216">
        <f>I15/1752</f>
        <v>523.04851598173514</v>
      </c>
      <c r="J19" s="216">
        <f>J15/1752</f>
        <v>525.90239726027403</v>
      </c>
      <c r="K19" s="216">
        <f>K15/1753</f>
        <v>528.45464917284653</v>
      </c>
      <c r="L19" s="216">
        <f t="shared" ref="L19:O19" si="18">L15/1752</f>
        <v>531.61015981735159</v>
      </c>
      <c r="M19" s="216">
        <f t="shared" si="18"/>
        <v>534.46404109589037</v>
      </c>
      <c r="N19" s="216">
        <f t="shared" si="18"/>
        <v>537.31792237442926</v>
      </c>
      <c r="O19" s="216">
        <f t="shared" si="18"/>
        <v>540.17180365296804</v>
      </c>
    </row>
    <row r="20" spans="1:15" x14ac:dyDescent="0.25">
      <c r="A20" s="46"/>
      <c r="B20" s="45" t="s">
        <v>76</v>
      </c>
      <c r="C20" s="208" t="s">
        <v>65</v>
      </c>
      <c r="D20" s="216"/>
      <c r="E20" s="217"/>
      <c r="F20" s="202"/>
      <c r="G20" s="217"/>
      <c r="H20" s="216">
        <f t="shared" ref="H20" si="19">H15/1752*1.65</f>
        <v>858.32114726027396</v>
      </c>
      <c r="I20" s="216">
        <f>I15/1752*1.65</f>
        <v>863.03005136986292</v>
      </c>
      <c r="J20" s="216">
        <f>J15/1752*1.65</f>
        <v>867.7389554794521</v>
      </c>
      <c r="K20" s="216">
        <f>K15/1752*1.65</f>
        <v>872.44785958904106</v>
      </c>
      <c r="L20" s="216">
        <f t="shared" ref="L20:O20" si="20">L15/1752*1.65</f>
        <v>877.15676369863002</v>
      </c>
      <c r="M20" s="216">
        <f t="shared" si="20"/>
        <v>881.86566780821909</v>
      </c>
      <c r="N20" s="216">
        <f t="shared" si="20"/>
        <v>886.57457191780827</v>
      </c>
      <c r="O20" s="216">
        <f t="shared" si="20"/>
        <v>891.28347602739723</v>
      </c>
    </row>
    <row r="21" spans="1:15" x14ac:dyDescent="0.25">
      <c r="A21" s="46"/>
      <c r="B21" s="45" t="s">
        <v>77</v>
      </c>
      <c r="C21" s="208" t="s">
        <v>66</v>
      </c>
      <c r="D21" s="216"/>
      <c r="E21" s="217"/>
      <c r="F21" s="202"/>
      <c r="G21" s="217"/>
      <c r="H21" s="216">
        <f t="shared" ref="H21" si="21">H17/162.5</f>
        <v>467.3</v>
      </c>
      <c r="I21" s="216">
        <f>I17/162.5</f>
        <v>469.86410256410261</v>
      </c>
      <c r="J21" s="216">
        <f>J17/162.5</f>
        <v>472.42820512820509</v>
      </c>
      <c r="K21" s="216">
        <f>K17/162.5</f>
        <v>474.99230769230769</v>
      </c>
      <c r="L21" s="216">
        <f t="shared" ref="L21:O21" si="22">L17/162.5</f>
        <v>477.55641025641029</v>
      </c>
      <c r="M21" s="216">
        <f t="shared" si="22"/>
        <v>480.12051282051277</v>
      </c>
      <c r="N21" s="216">
        <f t="shared" si="22"/>
        <v>482.68461538461537</v>
      </c>
      <c r="O21" s="216">
        <f t="shared" si="22"/>
        <v>485.24871794871797</v>
      </c>
    </row>
    <row r="22" spans="1:15" x14ac:dyDescent="0.25">
      <c r="A22" s="46"/>
      <c r="B22" s="45" t="s">
        <v>78</v>
      </c>
      <c r="C22" s="208" t="s">
        <v>68</v>
      </c>
      <c r="D22" s="216"/>
      <c r="E22" s="217"/>
      <c r="F22" s="202"/>
      <c r="G22" s="217"/>
      <c r="H22" s="216">
        <f t="shared" ref="H22" si="23">H21*1.5</f>
        <v>700.95</v>
      </c>
      <c r="I22" s="216">
        <f>I21*1.5</f>
        <v>704.79615384615386</v>
      </c>
      <c r="J22" s="216">
        <f>J21*1.5</f>
        <v>708.64230769230767</v>
      </c>
      <c r="K22" s="216">
        <f>K21*1.5</f>
        <v>712.48846153846148</v>
      </c>
      <c r="L22" s="216">
        <f t="shared" ref="L22:O22" si="24">L21*1.5</f>
        <v>716.3346153846154</v>
      </c>
      <c r="M22" s="216">
        <f t="shared" si="24"/>
        <v>720.1807692307691</v>
      </c>
      <c r="N22" s="216">
        <f t="shared" si="24"/>
        <v>724.02692307692303</v>
      </c>
      <c r="O22" s="216">
        <f t="shared" si="24"/>
        <v>727.87307692307695</v>
      </c>
    </row>
    <row r="23" spans="1:15" x14ac:dyDescent="0.25">
      <c r="A23" s="46"/>
      <c r="B23" s="45" t="s">
        <v>79</v>
      </c>
      <c r="C23" s="208" t="s">
        <v>70</v>
      </c>
      <c r="D23" s="216"/>
      <c r="E23" s="217"/>
      <c r="F23" s="202"/>
      <c r="G23" s="217"/>
      <c r="H23" s="216">
        <f t="shared" ref="H23" si="25">H21*2</f>
        <v>934.6</v>
      </c>
      <c r="I23" s="216">
        <f>I21*2</f>
        <v>939.72820512820522</v>
      </c>
      <c r="J23" s="216">
        <f>J21*2</f>
        <v>944.85641025641019</v>
      </c>
      <c r="K23" s="216">
        <f>K21*2</f>
        <v>949.98461538461538</v>
      </c>
      <c r="L23" s="216">
        <f t="shared" ref="L23:O23" si="26">L21*2</f>
        <v>955.11282051282058</v>
      </c>
      <c r="M23" s="216">
        <f t="shared" si="26"/>
        <v>960.24102564102554</v>
      </c>
      <c r="N23" s="216">
        <f t="shared" si="26"/>
        <v>965.36923076923074</v>
      </c>
      <c r="O23" s="216">
        <f t="shared" si="26"/>
        <v>970.49743589743593</v>
      </c>
    </row>
    <row r="24" spans="1:15" x14ac:dyDescent="0.25">
      <c r="A24" s="46"/>
      <c r="B24" s="45" t="s">
        <v>20</v>
      </c>
      <c r="C24" s="208"/>
      <c r="D24" s="216"/>
      <c r="E24" s="230"/>
      <c r="F24" s="194"/>
      <c r="G24" s="217"/>
      <c r="H24" s="216"/>
      <c r="I24" s="216"/>
      <c r="J24" s="216"/>
      <c r="K24" s="216"/>
      <c r="L24" s="216"/>
      <c r="M24" s="216"/>
      <c r="N24" s="216"/>
      <c r="O24" s="216"/>
    </row>
    <row r="25" spans="1:15" ht="15.75" thickBot="1" x14ac:dyDescent="0.3">
      <c r="A25" s="48"/>
      <c r="B25" s="49" t="s">
        <v>80</v>
      </c>
      <c r="C25" s="50"/>
      <c r="D25" s="220"/>
      <c r="E25" s="231"/>
      <c r="F25" s="204"/>
      <c r="G25" s="221"/>
      <c r="H25" s="220"/>
      <c r="I25" s="220"/>
      <c r="J25" s="220"/>
      <c r="K25" s="220"/>
      <c r="L25" s="220"/>
      <c r="M25" s="220"/>
      <c r="N25" s="220"/>
      <c r="O25" s="220"/>
    </row>
    <row r="26" spans="1:15" ht="19.5" x14ac:dyDescent="0.25">
      <c r="A26" s="52" t="s">
        <v>25</v>
      </c>
      <c r="B26" s="30" t="s">
        <v>81</v>
      </c>
      <c r="C26" s="31" t="s">
        <v>56</v>
      </c>
      <c r="D26" s="101"/>
      <c r="E26" s="101"/>
      <c r="F26" s="234">
        <f>'Lønnstabell 01.06.2026'!G21</f>
        <v>872866</v>
      </c>
      <c r="G26" s="234">
        <f>'Lønnstabell 01.06.2026'!H21</f>
        <v>888810</v>
      </c>
      <c r="H26" s="234">
        <f>'Lønnstabell 01.06.2026'!I21</f>
        <v>892614</v>
      </c>
      <c r="I26" s="234">
        <f>'Lønnstabell 01.06.2026'!J21</f>
        <v>897614</v>
      </c>
      <c r="J26" s="234">
        <f>'Lønnstabell 01.06.2026'!K21</f>
        <v>902614</v>
      </c>
      <c r="K26" s="234">
        <f>'Lønnstabell 01.06.2026'!L21</f>
        <v>907614</v>
      </c>
      <c r="L26" s="234">
        <f>'Lønnstabell 01.06.2026'!M21</f>
        <v>912614</v>
      </c>
      <c r="M26" s="234">
        <f>'Lønnstabell 01.06.2026'!N21</f>
        <v>917614</v>
      </c>
      <c r="N26" s="234">
        <f>'Lønnstabell 01.06.2026'!O21</f>
        <v>922614</v>
      </c>
      <c r="O26" s="234">
        <f>'Lønnstabell 01.06.2026'!P21</f>
        <v>927614</v>
      </c>
    </row>
    <row r="27" spans="1:15" x14ac:dyDescent="0.25">
      <c r="A27" s="32"/>
      <c r="B27" s="33" t="s">
        <v>82</v>
      </c>
      <c r="C27" s="206" t="s">
        <v>58</v>
      </c>
      <c r="D27" s="213"/>
      <c r="E27" s="213"/>
      <c r="F27" s="229">
        <v>1</v>
      </c>
      <c r="G27" s="229">
        <v>1</v>
      </c>
      <c r="H27" s="229">
        <v>1</v>
      </c>
      <c r="I27" s="229">
        <v>1</v>
      </c>
      <c r="J27" s="229">
        <v>1</v>
      </c>
      <c r="K27" s="229">
        <v>1</v>
      </c>
      <c r="L27" s="229">
        <v>1</v>
      </c>
      <c r="M27" s="229">
        <v>1</v>
      </c>
      <c r="N27" s="229">
        <v>1</v>
      </c>
      <c r="O27" s="229">
        <v>1</v>
      </c>
    </row>
    <row r="28" spans="1:15" x14ac:dyDescent="0.25">
      <c r="A28" s="32"/>
      <c r="B28" s="33" t="s">
        <v>83</v>
      </c>
      <c r="C28" s="206" t="s">
        <v>60</v>
      </c>
      <c r="D28" s="213"/>
      <c r="E28" s="207"/>
      <c r="F28" s="207">
        <f t="shared" ref="F28:J28" si="27">((F26)-(F27*146))/12</f>
        <v>72726.666666666672</v>
      </c>
      <c r="G28" s="207">
        <f t="shared" si="27"/>
        <v>74055.333333333328</v>
      </c>
      <c r="H28" s="207">
        <f t="shared" si="27"/>
        <v>74372.333333333328</v>
      </c>
      <c r="I28" s="207">
        <f t="shared" si="27"/>
        <v>74789</v>
      </c>
      <c r="J28" s="207">
        <f t="shared" si="27"/>
        <v>75205.666666666672</v>
      </c>
      <c r="K28" s="207">
        <f>((K26)-(K27*146))/12</f>
        <v>75622.333333333328</v>
      </c>
      <c r="L28" s="207">
        <f t="shared" ref="L28:O28" si="28">((L26)-(L27*146))/12</f>
        <v>76039</v>
      </c>
      <c r="M28" s="207">
        <f t="shared" si="28"/>
        <v>76455.666666666672</v>
      </c>
      <c r="N28" s="207">
        <f t="shared" si="28"/>
        <v>76872.333333333328</v>
      </c>
      <c r="O28" s="207">
        <f t="shared" si="28"/>
        <v>77289</v>
      </c>
    </row>
    <row r="29" spans="1:15" x14ac:dyDescent="0.25">
      <c r="A29" s="32"/>
      <c r="B29" s="33" t="s">
        <v>84</v>
      </c>
      <c r="C29" s="206" t="s">
        <v>61</v>
      </c>
      <c r="D29" s="213"/>
      <c r="E29" s="207"/>
      <c r="F29" s="207">
        <f t="shared" ref="F29:H29" si="29">F28*47.08/52.14</f>
        <v>65668.804500703234</v>
      </c>
      <c r="G29" s="207">
        <f t="shared" si="29"/>
        <v>66868.528832630094</v>
      </c>
      <c r="H29" s="207">
        <f t="shared" si="29"/>
        <v>67154.76511954992</v>
      </c>
      <c r="I29" s="207">
        <f>I28*47.08/52.14</f>
        <v>67530.995780590703</v>
      </c>
      <c r="J29" s="207">
        <f>J28*47.08/52.14</f>
        <v>67907.226441631501</v>
      </c>
      <c r="K29" s="207">
        <f>K28*47.08/52.14</f>
        <v>68283.457102672284</v>
      </c>
      <c r="L29" s="207">
        <f t="shared" ref="L29:O29" si="30">L28*47.08/52.14</f>
        <v>68659.687763713067</v>
      </c>
      <c r="M29" s="207">
        <f t="shared" si="30"/>
        <v>69035.918424753865</v>
      </c>
      <c r="N29" s="207">
        <f t="shared" si="30"/>
        <v>69412.149085794648</v>
      </c>
      <c r="O29" s="207">
        <f t="shared" si="30"/>
        <v>69788.379746835431</v>
      </c>
    </row>
    <row r="30" spans="1:15" x14ac:dyDescent="0.25">
      <c r="A30" s="32"/>
      <c r="B30" s="33" t="s">
        <v>26</v>
      </c>
      <c r="C30" s="208" t="s">
        <v>63</v>
      </c>
      <c r="D30" s="216"/>
      <c r="E30" s="209"/>
      <c r="F30" s="209">
        <f t="shared" ref="F30:J30" si="31">F26/1752</f>
        <v>498.21118721461187</v>
      </c>
      <c r="G30" s="209">
        <f t="shared" si="31"/>
        <v>507.31164383561645</v>
      </c>
      <c r="H30" s="209">
        <f t="shared" si="31"/>
        <v>509.48287671232879</v>
      </c>
      <c r="I30" s="209">
        <f t="shared" si="31"/>
        <v>512.33675799086757</v>
      </c>
      <c r="J30" s="209">
        <f t="shared" si="31"/>
        <v>515.19063926940635</v>
      </c>
      <c r="K30" s="209">
        <f>K26/1752</f>
        <v>518.04452054794524</v>
      </c>
      <c r="L30" s="209">
        <f t="shared" ref="L30:O30" si="32">L26/1752</f>
        <v>520.89840182648402</v>
      </c>
      <c r="M30" s="209">
        <f t="shared" si="32"/>
        <v>523.7522831050228</v>
      </c>
      <c r="N30" s="209">
        <f t="shared" si="32"/>
        <v>526.60616438356169</v>
      </c>
      <c r="O30" s="209">
        <f t="shared" si="32"/>
        <v>529.46004566210047</v>
      </c>
    </row>
    <row r="31" spans="1:15" x14ac:dyDescent="0.25">
      <c r="A31" s="32"/>
      <c r="B31" s="33" t="s">
        <v>85</v>
      </c>
      <c r="C31" s="208" t="s">
        <v>65</v>
      </c>
      <c r="D31" s="216"/>
      <c r="E31" s="209"/>
      <c r="F31" s="209">
        <f t="shared" ref="F31:J31" si="33">F26/1752*1.65</f>
        <v>822.04845890410957</v>
      </c>
      <c r="G31" s="209">
        <f t="shared" si="33"/>
        <v>837.0642123287671</v>
      </c>
      <c r="H31" s="209">
        <f t="shared" si="33"/>
        <v>840.64674657534249</v>
      </c>
      <c r="I31" s="209">
        <f t="shared" si="33"/>
        <v>845.35565068493145</v>
      </c>
      <c r="J31" s="209">
        <f t="shared" si="33"/>
        <v>850.0645547945204</v>
      </c>
      <c r="K31" s="209">
        <f>K26/1752*1.65</f>
        <v>854.77345890410959</v>
      </c>
      <c r="L31" s="209">
        <f t="shared" ref="L31:O31" si="34">L26/1752*1.65</f>
        <v>859.48236301369855</v>
      </c>
      <c r="M31" s="209">
        <f t="shared" si="34"/>
        <v>864.19126712328762</v>
      </c>
      <c r="N31" s="209">
        <f t="shared" si="34"/>
        <v>868.90017123287669</v>
      </c>
      <c r="O31" s="209">
        <f t="shared" si="34"/>
        <v>873.60907534246576</v>
      </c>
    </row>
    <row r="32" spans="1:15" x14ac:dyDescent="0.25">
      <c r="A32" s="32"/>
      <c r="B32" s="33" t="s">
        <v>86</v>
      </c>
      <c r="C32" s="208" t="s">
        <v>66</v>
      </c>
      <c r="D32" s="216"/>
      <c r="E32" s="209"/>
      <c r="F32" s="209">
        <f t="shared" ref="F32:H32" si="35">F28/162.5</f>
        <v>447.54871794871798</v>
      </c>
      <c r="G32" s="209">
        <f t="shared" si="35"/>
        <v>455.72512820512816</v>
      </c>
      <c r="H32" s="209">
        <f t="shared" si="35"/>
        <v>457.67589743589741</v>
      </c>
      <c r="I32" s="209">
        <f>I28/162.5</f>
        <v>460.24</v>
      </c>
      <c r="J32" s="209">
        <f>J28/162.5</f>
        <v>462.80410256410261</v>
      </c>
      <c r="K32" s="209">
        <f>K28/162.5</f>
        <v>465.36820512820509</v>
      </c>
      <c r="L32" s="209">
        <f t="shared" ref="L32:O32" si="36">L28/162.5</f>
        <v>467.93230769230769</v>
      </c>
      <c r="M32" s="209">
        <f t="shared" si="36"/>
        <v>470.49641025641029</v>
      </c>
      <c r="N32" s="209">
        <f t="shared" si="36"/>
        <v>473.06051282051277</v>
      </c>
      <c r="O32" s="209">
        <f t="shared" si="36"/>
        <v>475.62461538461537</v>
      </c>
    </row>
    <row r="33" spans="1:15" x14ac:dyDescent="0.25">
      <c r="A33" s="32"/>
      <c r="B33" s="33" t="s">
        <v>87</v>
      </c>
      <c r="C33" s="208" t="s">
        <v>68</v>
      </c>
      <c r="D33" s="216"/>
      <c r="E33" s="209"/>
      <c r="F33" s="209">
        <f t="shared" ref="F33:H33" si="37">F32*1.5</f>
        <v>671.323076923077</v>
      </c>
      <c r="G33" s="209">
        <f t="shared" si="37"/>
        <v>683.58769230769224</v>
      </c>
      <c r="H33" s="209">
        <f t="shared" si="37"/>
        <v>686.51384615384609</v>
      </c>
      <c r="I33" s="209">
        <f>I32*1.5</f>
        <v>690.36</v>
      </c>
      <c r="J33" s="209">
        <f>J32*1.5</f>
        <v>694.20615384615394</v>
      </c>
      <c r="K33" s="209">
        <f>K32*1.5</f>
        <v>698.05230769230764</v>
      </c>
      <c r="L33" s="209">
        <f t="shared" ref="L33:O33" si="38">L32*1.5</f>
        <v>701.89846153846156</v>
      </c>
      <c r="M33" s="209">
        <f t="shared" si="38"/>
        <v>705.74461538461537</v>
      </c>
      <c r="N33" s="209">
        <f t="shared" si="38"/>
        <v>709.59076923076918</v>
      </c>
      <c r="O33" s="209">
        <f t="shared" si="38"/>
        <v>713.43692307692299</v>
      </c>
    </row>
    <row r="34" spans="1:15" ht="15.75" thickBot="1" x14ac:dyDescent="0.3">
      <c r="A34" s="53"/>
      <c r="B34" s="54" t="s">
        <v>88</v>
      </c>
      <c r="C34" s="210" t="s">
        <v>70</v>
      </c>
      <c r="D34" s="232"/>
      <c r="E34" s="211"/>
      <c r="F34" s="211">
        <f t="shared" ref="F34:H34" si="39">F32*2</f>
        <v>895.09743589743596</v>
      </c>
      <c r="G34" s="211">
        <f t="shared" si="39"/>
        <v>911.45025641025632</v>
      </c>
      <c r="H34" s="211">
        <f t="shared" si="39"/>
        <v>915.35179487179482</v>
      </c>
      <c r="I34" s="211">
        <f>I32*2</f>
        <v>920.48</v>
      </c>
      <c r="J34" s="211">
        <f>J32*2</f>
        <v>925.60820512820521</v>
      </c>
      <c r="K34" s="211">
        <f>K32*2</f>
        <v>930.73641025641018</v>
      </c>
      <c r="L34" s="211">
        <f t="shared" ref="L34:O34" si="40">L32*2</f>
        <v>935.86461538461538</v>
      </c>
      <c r="M34" s="211">
        <f t="shared" si="40"/>
        <v>940.99282051282057</v>
      </c>
      <c r="N34" s="211">
        <f t="shared" si="40"/>
        <v>946.12102564102554</v>
      </c>
      <c r="O34" s="211">
        <f t="shared" si="40"/>
        <v>951.24923076923073</v>
      </c>
    </row>
    <row r="35" spans="1:15" ht="19.5" x14ac:dyDescent="0.25">
      <c r="A35" s="52" t="s">
        <v>31</v>
      </c>
      <c r="B35" s="30" t="s">
        <v>89</v>
      </c>
      <c r="C35" s="31" t="s">
        <v>56</v>
      </c>
      <c r="D35" s="101"/>
      <c r="E35" s="101"/>
      <c r="F35" s="101"/>
      <c r="G35" s="197"/>
      <c r="H35" s="235">
        <f>'Lønnstabell 01.06.2026'!I29</f>
        <v>820187</v>
      </c>
      <c r="I35" s="235">
        <f>'Lønnstabell 01.06.2026'!J29</f>
        <v>825187</v>
      </c>
      <c r="J35" s="235">
        <f>'Lønnstabell 01.06.2026'!K29</f>
        <v>830187</v>
      </c>
      <c r="K35" s="235">
        <f>'Lønnstabell 01.06.2026'!L29</f>
        <v>835187</v>
      </c>
      <c r="L35" s="235">
        <f>'Lønnstabell 01.06.2026'!M29</f>
        <v>840187</v>
      </c>
      <c r="M35" s="235">
        <f>'Lønnstabell 01.06.2026'!N29</f>
        <v>845187</v>
      </c>
      <c r="N35" s="235">
        <f>'Lønnstabell 01.06.2026'!O29</f>
        <v>850187</v>
      </c>
      <c r="O35" s="235"/>
    </row>
    <row r="36" spans="1:15" x14ac:dyDescent="0.25">
      <c r="A36" s="32"/>
      <c r="B36" s="33" t="s">
        <v>90</v>
      </c>
      <c r="C36" s="206" t="s">
        <v>58</v>
      </c>
      <c r="D36" s="213"/>
      <c r="E36" s="213"/>
      <c r="F36" s="213"/>
      <c r="G36" s="198"/>
      <c r="H36" s="229">
        <v>1</v>
      </c>
      <c r="I36" s="229">
        <v>1</v>
      </c>
      <c r="J36" s="229">
        <v>1</v>
      </c>
      <c r="K36" s="229">
        <v>1</v>
      </c>
      <c r="L36" s="229">
        <v>1</v>
      </c>
      <c r="M36" s="229">
        <v>1</v>
      </c>
      <c r="N36" s="229"/>
      <c r="O36" s="229"/>
    </row>
    <row r="37" spans="1:15" x14ac:dyDescent="0.25">
      <c r="A37" s="32"/>
      <c r="B37" s="33"/>
      <c r="C37" s="206" t="s">
        <v>60</v>
      </c>
      <c r="D37" s="213"/>
      <c r="E37" s="207"/>
      <c r="F37" s="207"/>
      <c r="G37" s="198"/>
      <c r="H37" s="207">
        <f t="shared" ref="H37:M37" si="41">((H35)-(H36*146))/12</f>
        <v>68336.75</v>
      </c>
      <c r="I37" s="207">
        <f t="shared" si="41"/>
        <v>68753.416666666672</v>
      </c>
      <c r="J37" s="207">
        <f t="shared" si="41"/>
        <v>69170.083333333328</v>
      </c>
      <c r="K37" s="207">
        <f t="shared" si="41"/>
        <v>69586.75</v>
      </c>
      <c r="L37" s="207">
        <f t="shared" si="41"/>
        <v>70003.416666666672</v>
      </c>
      <c r="M37" s="207">
        <f t="shared" si="41"/>
        <v>70420.083333333328</v>
      </c>
      <c r="N37" s="207"/>
      <c r="O37" s="207"/>
    </row>
    <row r="38" spans="1:15" x14ac:dyDescent="0.25">
      <c r="A38" s="32"/>
      <c r="B38" s="33"/>
      <c r="C38" s="206" t="s">
        <v>61</v>
      </c>
      <c r="D38" s="213"/>
      <c r="E38" s="207"/>
      <c r="F38" s="207"/>
      <c r="G38" s="198"/>
      <c r="H38" s="207">
        <f t="shared" ref="H38" si="42">H37*47.08/52.14</f>
        <v>61704.913502109703</v>
      </c>
      <c r="I38" s="207">
        <f>I37*47.08/52.14</f>
        <v>62081.144163150493</v>
      </c>
      <c r="J38" s="207">
        <f>J37*47.08/52.14</f>
        <v>62457.374824191269</v>
      </c>
      <c r="K38" s="207">
        <f t="shared" ref="K38:M38" si="43">K37*47.08/52.14</f>
        <v>62833.605485232067</v>
      </c>
      <c r="L38" s="207">
        <f t="shared" si="43"/>
        <v>63209.836146272857</v>
      </c>
      <c r="M38" s="207">
        <f t="shared" si="43"/>
        <v>63586.066807313633</v>
      </c>
      <c r="N38" s="207"/>
      <c r="O38" s="207"/>
    </row>
    <row r="39" spans="1:15" x14ac:dyDescent="0.25">
      <c r="A39" s="32"/>
      <c r="B39" s="33"/>
      <c r="C39" s="208" t="s">
        <v>63</v>
      </c>
      <c r="D39" s="216"/>
      <c r="E39" s="209"/>
      <c r="F39" s="209"/>
      <c r="G39" s="199"/>
      <c r="H39" s="209">
        <f t="shared" ref="H39:M39" si="44">H35/1752</f>
        <v>468.14326484018267</v>
      </c>
      <c r="I39" s="209">
        <f t="shared" si="44"/>
        <v>470.99714611872145</v>
      </c>
      <c r="J39" s="209">
        <f t="shared" si="44"/>
        <v>473.85102739726028</v>
      </c>
      <c r="K39" s="209">
        <f t="shared" si="44"/>
        <v>476.70490867579906</v>
      </c>
      <c r="L39" s="209">
        <f t="shared" si="44"/>
        <v>479.5587899543379</v>
      </c>
      <c r="M39" s="209">
        <f t="shared" si="44"/>
        <v>482.41267123287673</v>
      </c>
      <c r="N39" s="209"/>
      <c r="O39" s="209"/>
    </row>
    <row r="40" spans="1:15" x14ac:dyDescent="0.25">
      <c r="A40" s="32"/>
      <c r="B40" s="33"/>
      <c r="C40" s="208" t="s">
        <v>65</v>
      </c>
      <c r="D40" s="216"/>
      <c r="E40" s="209"/>
      <c r="F40" s="209"/>
      <c r="G40" s="199"/>
      <c r="H40" s="209">
        <f t="shared" ref="H40:M40" si="45">H35/1752*1.65</f>
        <v>772.43638698630139</v>
      </c>
      <c r="I40" s="209">
        <f t="shared" si="45"/>
        <v>777.14529109589034</v>
      </c>
      <c r="J40" s="209">
        <f t="shared" si="45"/>
        <v>781.85419520547941</v>
      </c>
      <c r="K40" s="209">
        <f t="shared" si="45"/>
        <v>786.56309931506837</v>
      </c>
      <c r="L40" s="209">
        <f t="shared" si="45"/>
        <v>791.27200342465744</v>
      </c>
      <c r="M40" s="209">
        <f t="shared" si="45"/>
        <v>795.98090753424651</v>
      </c>
      <c r="N40" s="209"/>
      <c r="O40" s="209"/>
    </row>
    <row r="41" spans="1:15" x14ac:dyDescent="0.25">
      <c r="A41" s="32"/>
      <c r="B41" s="33"/>
      <c r="C41" s="208" t="s">
        <v>66</v>
      </c>
      <c r="D41" s="216"/>
      <c r="E41" s="209"/>
      <c r="F41" s="209"/>
      <c r="G41" s="199"/>
      <c r="H41" s="209">
        <f t="shared" ref="H41" si="46">H37/162.5</f>
        <v>420.53384615384613</v>
      </c>
      <c r="I41" s="209">
        <f>I37/162.5</f>
        <v>423.09794871794873</v>
      </c>
      <c r="J41" s="209">
        <f>J37/162.5</f>
        <v>425.66205128205127</v>
      </c>
      <c r="K41" s="209">
        <f t="shared" ref="K41:M41" si="47">K37/162.5</f>
        <v>428.22615384615386</v>
      </c>
      <c r="L41" s="209">
        <f t="shared" si="47"/>
        <v>430.79025641025646</v>
      </c>
      <c r="M41" s="209">
        <f t="shared" si="47"/>
        <v>433.35435897435895</v>
      </c>
      <c r="N41" s="209"/>
      <c r="O41" s="209"/>
    </row>
    <row r="42" spans="1:15" x14ac:dyDescent="0.25">
      <c r="A42" s="32"/>
      <c r="B42" s="33"/>
      <c r="C42" s="208" t="s">
        <v>68</v>
      </c>
      <c r="D42" s="216"/>
      <c r="E42" s="209"/>
      <c r="F42" s="209"/>
      <c r="G42" s="199"/>
      <c r="H42" s="209">
        <f t="shared" ref="H42" si="48">H41*1.5</f>
        <v>630.80076923076922</v>
      </c>
      <c r="I42" s="209">
        <f>I41*1.5</f>
        <v>634.64692307692303</v>
      </c>
      <c r="J42" s="209">
        <f>J41*1.5</f>
        <v>638.49307692307684</v>
      </c>
      <c r="K42" s="209">
        <f t="shared" ref="K42:M42" si="49">K41*1.5</f>
        <v>642.33923076923077</v>
      </c>
      <c r="L42" s="209">
        <f t="shared" si="49"/>
        <v>646.18538461538469</v>
      </c>
      <c r="M42" s="209">
        <f t="shared" si="49"/>
        <v>650.03153846153839</v>
      </c>
      <c r="N42" s="209"/>
      <c r="O42" s="209"/>
    </row>
    <row r="43" spans="1:15" ht="15.75" thickBot="1" x14ac:dyDescent="0.3">
      <c r="A43" s="53"/>
      <c r="B43" s="55"/>
      <c r="C43" s="210" t="s">
        <v>70</v>
      </c>
      <c r="D43" s="232"/>
      <c r="E43" s="211"/>
      <c r="F43" s="211"/>
      <c r="G43" s="200"/>
      <c r="H43" s="211">
        <f t="shared" ref="H43" si="50">H41*2</f>
        <v>841.06769230769225</v>
      </c>
      <c r="I43" s="211">
        <f>I41*2</f>
        <v>846.19589743589745</v>
      </c>
      <c r="J43" s="211">
        <f>J41*2</f>
        <v>851.32410256410253</v>
      </c>
      <c r="K43" s="211">
        <f t="shared" ref="K43:M43" si="51">K41*2</f>
        <v>856.45230769230773</v>
      </c>
      <c r="L43" s="211">
        <f t="shared" si="51"/>
        <v>861.58051282051292</v>
      </c>
      <c r="M43" s="211">
        <f t="shared" si="51"/>
        <v>866.70871794871789</v>
      </c>
      <c r="N43" s="211"/>
      <c r="O43" s="211"/>
    </row>
    <row r="44" spans="1:15" x14ac:dyDescent="0.25">
      <c r="A44" t="s">
        <v>43</v>
      </c>
      <c r="H44" s="18"/>
      <c r="I44" s="18"/>
      <c r="J44" s="18"/>
      <c r="K44" s="18"/>
      <c r="L44" s="18"/>
    </row>
    <row r="45" spans="1:15" ht="16.5" customHeight="1" x14ac:dyDescent="0.25">
      <c r="A45" s="19" t="s">
        <v>91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5" ht="9.75" customHeight="1" x14ac:dyDescent="0.25">
      <c r="I46" s="9"/>
      <c r="J46" s="9"/>
      <c r="K46" s="9"/>
      <c r="L46" s="9"/>
    </row>
    <row r="47" spans="1:15" ht="15.75" thickBot="1" x14ac:dyDescent="0.3">
      <c r="A47" s="56" t="s">
        <v>33</v>
      </c>
      <c r="B47" s="57"/>
      <c r="C47" s="57"/>
      <c r="D47" s="58"/>
      <c r="E47" s="58"/>
      <c r="F47" s="58"/>
      <c r="G47" s="59"/>
      <c r="H47" s="59"/>
    </row>
    <row r="48" spans="1:15" ht="15.75" thickBot="1" x14ac:dyDescent="0.3">
      <c r="A48" s="60" t="s">
        <v>34</v>
      </c>
      <c r="B48" s="62"/>
      <c r="C48" s="60" t="s">
        <v>92</v>
      </c>
      <c r="D48" s="62"/>
      <c r="E48" s="60" t="s">
        <v>39</v>
      </c>
      <c r="F48" s="62"/>
      <c r="G48" s="60" t="s">
        <v>38</v>
      </c>
      <c r="H48" s="85"/>
      <c r="I48" s="26" t="s">
        <v>41</v>
      </c>
      <c r="J48" s="86"/>
    </row>
    <row r="49" spans="1:12" ht="15.75" thickBot="1" x14ac:dyDescent="0.3">
      <c r="A49" s="60" t="s">
        <v>35</v>
      </c>
      <c r="B49" s="62"/>
      <c r="C49" s="60" t="s">
        <v>37</v>
      </c>
      <c r="D49" s="62"/>
      <c r="E49" s="63" t="s">
        <v>93</v>
      </c>
      <c r="F49" s="64"/>
      <c r="G49" s="60" t="s">
        <v>94</v>
      </c>
      <c r="H49" s="85"/>
      <c r="I49" s="26" t="s">
        <v>42</v>
      </c>
      <c r="J49" s="86"/>
    </row>
    <row r="50" spans="1:12" ht="17.25" customHeight="1" x14ac:dyDescent="0.25">
      <c r="A50" s="65" t="s">
        <v>95</v>
      </c>
    </row>
    <row r="51" spans="1:12" x14ac:dyDescent="0.25">
      <c r="B51" s="125" t="s">
        <v>43</v>
      </c>
      <c r="C51" s="125"/>
      <c r="D51" s="125"/>
      <c r="E51" s="125"/>
      <c r="F51" s="125"/>
      <c r="G51" s="125"/>
      <c r="H51" s="127"/>
      <c r="I51" s="127"/>
      <c r="J51" s="127"/>
      <c r="K51" s="127"/>
      <c r="L51" s="127"/>
    </row>
    <row r="52" spans="1:12" ht="29.25" customHeight="1" x14ac:dyDescent="0.25">
      <c r="B52" s="251" t="s">
        <v>44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3"/>
    </row>
    <row r="53" spans="1:12" ht="15.75" x14ac:dyDescent="0.25">
      <c r="B53" s="246" t="s">
        <v>104</v>
      </c>
    </row>
    <row r="54" spans="1:12" ht="29.25" customHeight="1" x14ac:dyDescent="0.25">
      <c r="A54" s="247" t="s">
        <v>105</v>
      </c>
      <c r="B54" s="254" t="s">
        <v>106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</row>
    <row r="57" spans="1:12" x14ac:dyDescent="0.25">
      <c r="A57" t="s">
        <v>46</v>
      </c>
    </row>
    <row r="58" spans="1:12" x14ac:dyDescent="0.25">
      <c r="A58" t="s">
        <v>47</v>
      </c>
    </row>
    <row r="59" spans="1:12" x14ac:dyDescent="0.25">
      <c r="A59" t="s">
        <v>48</v>
      </c>
    </row>
    <row r="61" spans="1:12" x14ac:dyDescent="0.25">
      <c r="A61" t="s">
        <v>49</v>
      </c>
    </row>
  </sheetData>
  <mergeCells count="3">
    <mergeCell ref="G4:N4"/>
    <mergeCell ref="B52:L52"/>
    <mergeCell ref="B54:L54"/>
  </mergeCells>
  <pageMargins left="0.51181102362204722" right="0.31496062992125984" top="0.55118110236220474" bottom="0.35433070866141736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7D2257109F1B4EA159FB70E49FE973" ma:contentTypeVersion="17" ma:contentTypeDescription="Opprett et nytt dokument." ma:contentTypeScope="" ma:versionID="7af7a8c0de1423c7fef933f410d8f0c7">
  <xsd:schema xmlns:xsd="http://www.w3.org/2001/XMLSchema" xmlns:xs="http://www.w3.org/2001/XMLSchema" xmlns:p="http://schemas.microsoft.com/office/2006/metadata/properties" xmlns:ns2="af4c169a-9137-41a7-97f4-6e07a58d7793" xmlns:ns3="c86e5296-7e12-45d4-84ce-1891750a7111" xmlns:ns4="03ad3b4a-e752-4841-bc90-c8d7d67d0c68" targetNamespace="http://schemas.microsoft.com/office/2006/metadata/properties" ma:root="true" ma:fieldsID="1136972145a44122f184f7d22191bf7a" ns2:_="" ns3:_="" ns4:_="">
    <xsd:import namespace="af4c169a-9137-41a7-97f4-6e07a58d7793"/>
    <xsd:import namespace="c86e5296-7e12-45d4-84ce-1891750a7111"/>
    <xsd:import namespace="03ad3b4a-e752-4841-bc90-c8d7d67d0c68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3:SharedWithUsers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2:SPFxDocumasterStatus" minOccurs="0"/>
                <xsd:element ref="ns4:lcf76f155ced4ddcb4097134ff3c332f" minOccurs="0"/>
                <xsd:element ref="ns4:MediaServiceOCR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4c169a-9137-41a7-97f4-6e07a58d7793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Organisasjonsnøkkelord" ma:fieldId="{23f27201-bee3-471e-b2e7-b64fd8b7ca38}" ma:taxonomyMulti="true" ma:sspId="a7643f46-5034-43f2-a745-81cb53f4f13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PFxDocumasterStatus" ma:index="18" nillable="true" ma:displayName="Archive Status" ma:internalName="SPFxDocumasterStatus">
      <xsd:simpleType>
        <xsd:restriction base="dms:Number"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6e5296-7e12-45d4-84ce-1891750a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d3b4a-e752-4841-bc90-c8d7d67d0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a7643f46-5034-43f2-a745-81cb53f4f1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af4c169a-9137-41a7-97f4-6e07a58d7793">
      <Terms xmlns="http://schemas.microsoft.com/office/infopath/2007/PartnerControls"/>
    </TaxKeywordTaxHTField>
    <SPFxDocumasterStatus xmlns="af4c169a-9137-41a7-97f4-6e07a58d7793" xsi:nil="true"/>
    <lcf76f155ced4ddcb4097134ff3c332f xmlns="03ad3b4a-e752-4841-bc90-c8d7d67d0c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802581-07C9-4B3B-AC1F-44062EFBD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D34307-BAA9-4F82-8073-D61A7D5C3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4c169a-9137-41a7-97f4-6e07a58d7793"/>
    <ds:schemaRef ds:uri="c86e5296-7e12-45d4-84ce-1891750a7111"/>
    <ds:schemaRef ds:uri="03ad3b4a-e752-4841-bc90-c8d7d67d0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1E767F-2CFA-41CF-B9A9-2511CDBA5F51}">
  <ds:schemaRefs>
    <ds:schemaRef ds:uri="http://purl.org/dc/elements/1.1/"/>
    <ds:schemaRef ds:uri="http://purl.org/dc/dcmitype/"/>
    <ds:schemaRef ds:uri="c86e5296-7e12-45d4-84ce-1891750a7111"/>
    <ds:schemaRef ds:uri="af4c169a-9137-41a7-97f4-6e07a58d779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3ad3b4a-e752-4841-bc90-c8d7d67d0c68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3</vt:i4>
      </vt:variant>
    </vt:vector>
  </HeadingPairs>
  <TitlesOfParts>
    <vt:vector size="6" baseType="lpstr">
      <vt:lpstr>Lønnstabell 01.06.2026</vt:lpstr>
      <vt:lpstr>Tabell med 47% sokkelkomp.</vt:lpstr>
      <vt:lpstr>Tab. med fast avt. sokkelkomp.</vt:lpstr>
      <vt:lpstr>'Lønnstabell 01.06.2026'!Print_Area</vt:lpstr>
      <vt:lpstr>'Tab. med fast avt. sokkelkomp.'!Print_Area</vt:lpstr>
      <vt:lpstr>'Tabell med 47% sokkelkomp.'!Print_Area</vt:lpstr>
    </vt:vector>
  </TitlesOfParts>
  <Manager/>
  <Company>Industri Energi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Johansen</dc:creator>
  <cp:keywords/>
  <dc:description/>
  <cp:lastModifiedBy>Gro Losvik</cp:lastModifiedBy>
  <cp:revision/>
  <cp:lastPrinted>2025-02-05T12:58:57Z</cp:lastPrinted>
  <dcterms:created xsi:type="dcterms:W3CDTF">2013-06-20T18:37:39Z</dcterms:created>
  <dcterms:modified xsi:type="dcterms:W3CDTF">2026-07-01T12:39:51Z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0x0101005C7D2257109F1B4EA159FB70E49FE973</vt:lpwstr>
  </property>
  <property fmtid="{D5CDD505-2E9C-101B-9397-08002B2CF9AE}" pid="3" name="TaxKeyword">
    <vt:lpwstr/>
  </property>
  <property fmtid="{D5CDD505-2E9C-101B-9397-08002B2CF9AE}" pid="4" name="l2298f78368b4fba99a440753f4c2a6e">
    <vt:lpwstr>Hyretabeller|b0362cf3-3c94-45f7-9552-b13d44851a66</vt:lpwstr>
  </property>
  <property fmtid="{D5CDD505-2E9C-101B-9397-08002B2CF9AE}" pid="5" name="Avdeling">
    <vt:lpwstr>9;#Arbeidsgiver og kompetanse|3bcdb7dc-2449-417d-9c02-e7cfc4a9d7bc</vt:lpwstr>
  </property>
  <property fmtid="{D5CDD505-2E9C-101B-9397-08002B2CF9AE}" pid="6" name="Tema">
    <vt:lpwstr>95;#Hyretabeller|b0362cf3-3c94-45f7-9552-b13d44851a66</vt:lpwstr>
  </property>
  <property fmtid="{D5CDD505-2E9C-101B-9397-08002B2CF9AE}" pid="7" name="TaxCatchAll">
    <vt:lpwstr>95;#Hyretabeller|b0362cf3-3c94-45f7-9552-b13d44851a66;#9;#Arbeidsgiver og kompetanse|3bcdb7dc-2449-417d-9c02-e7cfc4a9d7bc</vt:lpwstr>
  </property>
  <property fmtid="{D5CDD505-2E9C-101B-9397-08002B2CF9AE}" pid="8" name="k617ee63fcc34c7da1e8a1584d0378b8">
    <vt:lpwstr>Arbeidsgiver og kompetanse|3bcdb7dc-2449-417d-9c02-e7cfc4a9d7bc</vt:lpwstr>
  </property>
  <property fmtid="{D5CDD505-2E9C-101B-9397-08002B2CF9AE}" pid="9" name="MediaServiceImageTags">
    <vt:lpwstr/>
  </property>
</Properties>
</file>